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reggov.sharepoint.com/sites/Regulacin-CombustiblesLquidos-CL-T-Metodologa/Documentos compartidos/CL-T-Metodología/Exp_EXP_20150002_CL_T/INTERNOS/DOC_4_Definitiva/Modelos_valoracion/para resolución Definitiva/Protegidos/"/>
    </mc:Choice>
  </mc:AlternateContent>
  <xr:revisionPtr revIDLastSave="51" documentId="8_{F46C6255-D5AD-417D-80A9-EE65C174C721}" xr6:coauthVersionLast="47" xr6:coauthVersionMax="47" xr10:uidLastSave="{8A358471-1791-4BE6-BC66-EB3CAE468214}"/>
  <bookViews>
    <workbookView xWindow="-120" yWindow="-120" windowWidth="29040" windowHeight="15840" tabRatio="500" xr2:uid="{00000000-000D-0000-FFFF-FFFF00000000}"/>
  </bookViews>
  <sheets>
    <sheet name="PRESENTACIÓN" sheetId="18" r:id="rId1"/>
    <sheet name="Inicio" sheetId="1" r:id="rId2"/>
    <sheet name="Indices" sheetId="20" r:id="rId3"/>
    <sheet name="Factores" sheetId="2" r:id="rId4"/>
    <sheet name="Costo Tanque" sheetId="3" r:id="rId5"/>
    <sheet name="BD SuministroMontaje" sheetId="4" r:id="rId6"/>
    <sheet name="Costo Mantenimiento" sheetId="17" r:id="rId7"/>
    <sheet name="Materiales Tanque Base" sheetId="5" r:id="rId8"/>
    <sheet name="BD Materiales" sheetId="6" r:id="rId9"/>
    <sheet name="Regresiones" sheetId="15" r:id="rId10"/>
    <sheet name="Tanque T Flotante" sheetId="8" r:id="rId11"/>
    <sheet name="Tanque T Cónico" sheetId="7" r:id="rId12"/>
    <sheet name="Tanque T Geodésico" sheetId="9" r:id="rId13"/>
    <sheet name="COSTA CARIBE" sheetId="10" r:id="rId14"/>
    <sheet name="MAGDALENA MEDIO" sheetId="11" r:id="rId15"/>
    <sheet name="CENTRO OCCIDENTE" sheetId="12" r:id="rId16"/>
    <sheet name="SUR" sheetId="13" r:id="rId17"/>
    <sheet name="LLANOS - NARIÑO" sheetId="14" r:id="rId18"/>
  </sheets>
  <definedNames>
    <definedName name="_xlnm._FilterDatabase" localSheetId="8" hidden="1">'BD Materiales'!$A$2:$T$623</definedName>
    <definedName name="_xlnm._FilterDatabase" localSheetId="4" hidden="1">'Costo Tanque'!$A$4:$S$119</definedName>
    <definedName name="_xlnm._FilterDatabase" localSheetId="7" hidden="1">'Materiales Tanque Base'!$E$2:$Q$37</definedName>
    <definedName name="Altura">Inicio!$C$18</definedName>
    <definedName name="Altura_TanqueBase">Factores!$C$20</definedName>
    <definedName name="Capacidad">Inicio!$C$17</definedName>
    <definedName name="CapacidadRefinados">Factores!$B$3:$B$24</definedName>
    <definedName name="ConMembrana">Inicio!$C$15</definedName>
    <definedName name="ConsAccesorios">'Materiales Tanque Base'!$N$3:$N$34</definedName>
    <definedName name="ConsEstructura">'Materiales Tanque Base'!$E$3:$E$34</definedName>
    <definedName name="ConsFactor">'Materiales Tanque Base'!$Q$3:$Q$34</definedName>
    <definedName name="ConsLamina">'Materiales Tanque Base'!$L$3:$L$34</definedName>
    <definedName name="ConsPerfiles">'Materiales Tanque Base'!$O$3:$O$34</definedName>
    <definedName name="ConsTornilleria">'Materiales Tanque Base'!$P$3:$P$34</definedName>
    <definedName name="ConsTuberia">'Materiales Tanque Base'!$M$3:$M$34</definedName>
    <definedName name="Crudo">Factores!$U$5</definedName>
    <definedName name="Diametro">Inicio!$C$19</definedName>
    <definedName name="Diametro_TanqueBase">Factores!$D$20</definedName>
    <definedName name="fac_Arancel">Factores!$K$21</definedName>
    <definedName name="fac_area_techof">Factores!$K$10</definedName>
    <definedName name="fac_iAcero">Factores!$K$13</definedName>
    <definedName name="fac_iAluminio">Factores!$K$15</definedName>
    <definedName name="fac_iInstControl">Factores!$K$17</definedName>
    <definedName name="fac_imprevistos">Factores!$K$12</definedName>
    <definedName name="fac_iObraCivil">Factores!$K$20</definedName>
    <definedName name="fac_iva">Factores!$K$4</definedName>
    <definedName name="fac_mano_obra">Factores!$K$5</definedName>
    <definedName name="fac_regionalizacion">Factores!$K$8</definedName>
    <definedName name="fac_utilidad">Factores!$K$9</definedName>
    <definedName name="FDCableC">Factores!$AB$10</definedName>
    <definedName name="FDCableI">Factores!$AB$9</definedName>
    <definedName name="FDCajaI">Factores!$AB$6</definedName>
    <definedName name="FDEsc">Factores!$AB$7</definedName>
    <definedName name="FDHidro">Factores!$AB$11</definedName>
    <definedName name="FDInst">Factores!$AB$8</definedName>
    <definedName name="FDKit1">Factores!$AB$12</definedName>
    <definedName name="FDKit2">Factores!$AB$13</definedName>
    <definedName name="FDKit3">Factores!$AB$14</definedName>
    <definedName name="FDPesoT">Factores!$AB$4</definedName>
    <definedName name="FDPesoV">Factores!$AB$3</definedName>
    <definedName name="FDPint">Factores!$AB$5</definedName>
    <definedName name="Fecha">Tabla3[Fecha]</definedName>
    <definedName name="GLP">Factores!$U$6</definedName>
    <definedName name="iAcero_base">Factores!$K$11</definedName>
    <definedName name="iAcero_Calculo">Indices!$C$16</definedName>
    <definedName name="iAluminio_base">Factores!$K$14</definedName>
    <definedName name="iAluminio_Calculo">Indices!$C$17</definedName>
    <definedName name="iInstControl_base">Factores!$K$16</definedName>
    <definedName name="iInstControl_Calculo">Indices!$C$18</definedName>
    <definedName name="iMedidores_base">Factores!$K$18</definedName>
    <definedName name="iMedidores_Calculo">Inicio!#REF!</definedName>
    <definedName name="iObraCivil_base">Factores!$K$19</definedName>
    <definedName name="iObraCivil_Calculo">Indices!$C$19</definedName>
    <definedName name="ipc">Factores!$K$7</definedName>
    <definedName name="ipc_base">Factores!$K$6</definedName>
    <definedName name="Pilotes">Inicio!$C$21</definedName>
    <definedName name="Refinados">Factores!$U$3:$U$5</definedName>
    <definedName name="Region">Factores!$M$3:$M$7</definedName>
    <definedName name="TipoTecho">Inicio!$C$14</definedName>
    <definedName name="TotalComisionamiento">Inicio!$F$40</definedName>
    <definedName name="TotalConstruccionMontaje">Inicio!$F$37</definedName>
    <definedName name="TotalIngenieria">Inicio!$F$25</definedName>
    <definedName name="TotalMateriales">Inicio!$F$31</definedName>
    <definedName name="trm_base">Factores!$K$3</definedName>
    <definedName name="trm_calculo">Indices!$C$15</definedName>
    <definedName name="trm_ref">Indices!$I$35</definedName>
    <definedName name="Ubicacion">Inicio!$C$20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19" i="3" l="1"/>
  <c r="R119" i="3"/>
  <c r="Q119" i="3"/>
  <c r="P119" i="3"/>
  <c r="D70" i="15"/>
  <c r="C70" i="15"/>
  <c r="I101" i="4" l="1"/>
  <c r="K101" i="4"/>
  <c r="L101" i="4"/>
  <c r="I102" i="4"/>
  <c r="K102" i="4"/>
  <c r="L102" i="4"/>
  <c r="I103" i="4"/>
  <c r="K103" i="4"/>
  <c r="L103" i="4"/>
  <c r="K104" i="4"/>
  <c r="L104" i="4"/>
  <c r="I17" i="4"/>
  <c r="K3" i="4"/>
  <c r="L3" i="4"/>
  <c r="K4" i="4"/>
  <c r="L4" i="4"/>
  <c r="K5" i="4"/>
  <c r="L5" i="4"/>
  <c r="K6" i="4"/>
  <c r="L6" i="4"/>
  <c r="K7" i="4"/>
  <c r="L7" i="4"/>
  <c r="K8" i="4"/>
  <c r="L8" i="4"/>
  <c r="K9" i="4"/>
  <c r="L9" i="4"/>
  <c r="K10" i="4"/>
  <c r="L10" i="4"/>
  <c r="K11" i="4"/>
  <c r="L11" i="4"/>
  <c r="K12" i="4"/>
  <c r="L12" i="4"/>
  <c r="K13" i="4"/>
  <c r="L13" i="4"/>
  <c r="K14" i="4"/>
  <c r="L14" i="4"/>
  <c r="K15" i="4"/>
  <c r="L15" i="4"/>
  <c r="K16" i="4"/>
  <c r="L16" i="4"/>
  <c r="K18" i="4"/>
  <c r="L18" i="4"/>
  <c r="K19" i="4"/>
  <c r="L19" i="4"/>
  <c r="K20" i="4"/>
  <c r="L20" i="4"/>
  <c r="K21" i="4"/>
  <c r="L21" i="4"/>
  <c r="K22" i="4"/>
  <c r="L22" i="4"/>
  <c r="K23" i="4"/>
  <c r="L23" i="4"/>
  <c r="K24" i="4"/>
  <c r="L24" i="4"/>
  <c r="K25" i="4"/>
  <c r="L25" i="4"/>
  <c r="K26" i="4"/>
  <c r="L26" i="4"/>
  <c r="K27" i="4"/>
  <c r="L27" i="4"/>
  <c r="K28" i="4"/>
  <c r="L28" i="4"/>
  <c r="K29" i="4"/>
  <c r="L29" i="4"/>
  <c r="K30" i="4"/>
  <c r="L30" i="4"/>
  <c r="K31" i="4"/>
  <c r="L31" i="4"/>
  <c r="K32" i="4"/>
  <c r="L32" i="4"/>
  <c r="K33" i="4"/>
  <c r="L33" i="4"/>
  <c r="K34" i="4"/>
  <c r="L34" i="4"/>
  <c r="K35" i="4"/>
  <c r="L35" i="4"/>
  <c r="K36" i="4"/>
  <c r="L36" i="4"/>
  <c r="K37" i="4"/>
  <c r="L37" i="4"/>
  <c r="K38" i="4"/>
  <c r="L38" i="4"/>
  <c r="K39" i="4"/>
  <c r="L39" i="4"/>
  <c r="K40" i="4"/>
  <c r="L40" i="4"/>
  <c r="K41" i="4"/>
  <c r="L41" i="4"/>
  <c r="K42" i="4"/>
  <c r="L42" i="4"/>
  <c r="K43" i="4"/>
  <c r="L43" i="4"/>
  <c r="K44" i="4"/>
  <c r="L44" i="4"/>
  <c r="K45" i="4"/>
  <c r="L45" i="4"/>
  <c r="K46" i="4"/>
  <c r="L46" i="4"/>
  <c r="K47" i="4"/>
  <c r="L47" i="4"/>
  <c r="K48" i="4"/>
  <c r="L48" i="4"/>
  <c r="K49" i="4"/>
  <c r="L49" i="4"/>
  <c r="K50" i="4"/>
  <c r="L50" i="4"/>
  <c r="K51" i="4"/>
  <c r="L51" i="4"/>
  <c r="K52" i="4"/>
  <c r="L52" i="4"/>
  <c r="K53" i="4"/>
  <c r="L53" i="4"/>
  <c r="K54" i="4"/>
  <c r="L54" i="4"/>
  <c r="K55" i="4"/>
  <c r="L55" i="4"/>
  <c r="K56" i="4"/>
  <c r="L56" i="4"/>
  <c r="K57" i="4"/>
  <c r="L57" i="4"/>
  <c r="K58" i="4"/>
  <c r="L58" i="4"/>
  <c r="K59" i="4"/>
  <c r="L59" i="4"/>
  <c r="K60" i="4"/>
  <c r="L60" i="4"/>
  <c r="K61" i="4"/>
  <c r="L61" i="4"/>
  <c r="K62" i="4"/>
  <c r="L62" i="4"/>
  <c r="K63" i="4"/>
  <c r="L63" i="4"/>
  <c r="K64" i="4"/>
  <c r="L64" i="4"/>
  <c r="K65" i="4"/>
  <c r="L65" i="4"/>
  <c r="K66" i="4"/>
  <c r="L66" i="4"/>
  <c r="K67" i="4"/>
  <c r="L67" i="4"/>
  <c r="K68" i="4"/>
  <c r="L68" i="4"/>
  <c r="K69" i="4"/>
  <c r="L69" i="4"/>
  <c r="K70" i="4"/>
  <c r="L70" i="4"/>
  <c r="K71" i="4"/>
  <c r="L71" i="4"/>
  <c r="K72" i="4"/>
  <c r="L72" i="4"/>
  <c r="K73" i="4"/>
  <c r="L73" i="4"/>
  <c r="K74" i="4"/>
  <c r="L74" i="4"/>
  <c r="K75" i="4"/>
  <c r="L75" i="4"/>
  <c r="K76" i="4"/>
  <c r="L76" i="4"/>
  <c r="K77" i="4"/>
  <c r="L77" i="4"/>
  <c r="K78" i="4"/>
  <c r="L78" i="4"/>
  <c r="K79" i="4"/>
  <c r="L79" i="4"/>
  <c r="K80" i="4"/>
  <c r="L80" i="4"/>
  <c r="K81" i="4"/>
  <c r="L81" i="4"/>
  <c r="K82" i="4"/>
  <c r="L82" i="4"/>
  <c r="K83" i="4"/>
  <c r="L83" i="4"/>
  <c r="K84" i="4"/>
  <c r="L84" i="4"/>
  <c r="K85" i="4"/>
  <c r="L85" i="4"/>
  <c r="K86" i="4"/>
  <c r="L86" i="4"/>
  <c r="K87" i="4"/>
  <c r="L87" i="4"/>
  <c r="K88" i="4"/>
  <c r="L88" i="4"/>
  <c r="K89" i="4"/>
  <c r="L89" i="4"/>
  <c r="K90" i="4"/>
  <c r="L90" i="4"/>
  <c r="K91" i="4"/>
  <c r="L91" i="4"/>
  <c r="K92" i="4"/>
  <c r="L92" i="4"/>
  <c r="K93" i="4"/>
  <c r="L93" i="4"/>
  <c r="K94" i="4"/>
  <c r="L94" i="4"/>
  <c r="K95" i="4"/>
  <c r="L95" i="4"/>
  <c r="K96" i="4"/>
  <c r="L96" i="4"/>
  <c r="K97" i="4"/>
  <c r="L97" i="4"/>
  <c r="K98" i="4"/>
  <c r="L98" i="4"/>
  <c r="K99" i="4"/>
  <c r="L99" i="4"/>
  <c r="K100" i="4"/>
  <c r="L100" i="4"/>
  <c r="I3" i="4"/>
  <c r="I4" i="4"/>
  <c r="I5" i="4"/>
  <c r="I6" i="4"/>
  <c r="I7" i="4"/>
  <c r="I8" i="4"/>
  <c r="I9" i="4"/>
  <c r="I10" i="4"/>
  <c r="I11" i="4"/>
  <c r="I12" i="4"/>
  <c r="I13" i="4"/>
  <c r="I14" i="4"/>
  <c r="I15" i="4"/>
  <c r="I16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J68" i="3" l="1"/>
  <c r="O112" i="3"/>
  <c r="L112" i="3" s="1"/>
  <c r="J19" i="3" l="1"/>
  <c r="J24" i="3"/>
  <c r="J73" i="3"/>
  <c r="I114" i="3"/>
  <c r="O111" i="3"/>
  <c r="I112" i="3"/>
  <c r="J111" i="3"/>
  <c r="I111" i="3"/>
  <c r="I119" i="3"/>
  <c r="J6" i="3"/>
  <c r="I105" i="4"/>
  <c r="I104" i="4"/>
  <c r="L111" i="3" l="1"/>
  <c r="K111" i="3"/>
  <c r="K112" i="3" l="1"/>
  <c r="J100" i="4" l="1"/>
  <c r="J98" i="4"/>
  <c r="J94" i="4"/>
  <c r="J88" i="4"/>
  <c r="J84" i="4"/>
  <c r="J82" i="4"/>
  <c r="J78" i="4"/>
  <c r="J76" i="4"/>
  <c r="J72" i="4"/>
  <c r="J68" i="4"/>
  <c r="J66" i="4"/>
  <c r="J64" i="4"/>
  <c r="J62" i="4"/>
  <c r="J60" i="4"/>
  <c r="J58" i="4"/>
  <c r="J56" i="4"/>
  <c r="J54" i="4"/>
  <c r="J50" i="4"/>
  <c r="J48" i="4"/>
  <c r="J46" i="4"/>
  <c r="J44" i="4"/>
  <c r="J42" i="4"/>
  <c r="J40" i="4"/>
  <c r="J38" i="4"/>
  <c r="J36" i="4"/>
  <c r="J34" i="4"/>
  <c r="J32" i="4"/>
  <c r="J30" i="4"/>
  <c r="J28" i="4"/>
  <c r="J26" i="4"/>
  <c r="J24" i="4"/>
  <c r="J22" i="4"/>
  <c r="J20" i="4"/>
  <c r="J18" i="4"/>
  <c r="J15" i="4"/>
  <c r="J13" i="4"/>
  <c r="J11" i="4"/>
  <c r="J9" i="4"/>
  <c r="J7" i="4"/>
  <c r="J5" i="4"/>
  <c r="J104" i="4"/>
  <c r="J102" i="4"/>
  <c r="J96" i="4"/>
  <c r="J92" i="4"/>
  <c r="J90" i="4"/>
  <c r="J86" i="4"/>
  <c r="J80" i="4"/>
  <c r="J74" i="4"/>
  <c r="J70" i="4"/>
  <c r="J103" i="4"/>
  <c r="J101" i="4"/>
  <c r="J99" i="4"/>
  <c r="J97" i="4"/>
  <c r="J95" i="4"/>
  <c r="J93" i="4"/>
  <c r="J91" i="4"/>
  <c r="J89" i="4"/>
  <c r="J87" i="4"/>
  <c r="J85" i="4"/>
  <c r="J83" i="4"/>
  <c r="J81" i="4"/>
  <c r="J79" i="4"/>
  <c r="J77" i="4"/>
  <c r="J75" i="4"/>
  <c r="J73" i="4"/>
  <c r="J71" i="4"/>
  <c r="J69" i="4"/>
  <c r="J67" i="4"/>
  <c r="J65" i="4"/>
  <c r="J63" i="4"/>
  <c r="J61" i="4"/>
  <c r="J59" i="4"/>
  <c r="J57" i="4"/>
  <c r="J55" i="4"/>
  <c r="J53" i="4"/>
  <c r="J51" i="4"/>
  <c r="J49" i="4"/>
  <c r="J47" i="4"/>
  <c r="J45" i="4"/>
  <c r="J43" i="4"/>
  <c r="J41" i="4"/>
  <c r="J39" i="4"/>
  <c r="J37" i="4"/>
  <c r="J35" i="4"/>
  <c r="J33" i="4"/>
  <c r="J31" i="4"/>
  <c r="J29" i="4"/>
  <c r="J27" i="4"/>
  <c r="J25" i="4"/>
  <c r="J23" i="4"/>
  <c r="J21" i="4"/>
  <c r="J19" i="4"/>
  <c r="J16" i="4"/>
  <c r="J14" i="4"/>
  <c r="J12" i="4"/>
  <c r="J10" i="4"/>
  <c r="J8" i="4"/>
  <c r="J6" i="4"/>
  <c r="J4" i="4"/>
  <c r="Q50" i="3"/>
  <c r="Q49" i="3"/>
  <c r="Q48" i="3"/>
  <c r="Q47" i="3"/>
  <c r="Q46" i="3"/>
  <c r="Q45" i="3"/>
  <c r="Q44" i="3"/>
  <c r="Q43" i="3"/>
  <c r="Q42" i="3"/>
  <c r="Q41" i="3"/>
  <c r="Q117" i="3"/>
  <c r="Q116" i="3"/>
  <c r="S110" i="3"/>
  <c r="Q110" i="3"/>
  <c r="Q109" i="3"/>
  <c r="Q107" i="3"/>
  <c r="Q106" i="3"/>
  <c r="S104" i="3"/>
  <c r="R104" i="3"/>
  <c r="P104" i="3"/>
  <c r="S103" i="3"/>
  <c r="R103" i="3"/>
  <c r="P103" i="3"/>
  <c r="S102" i="3"/>
  <c r="R102" i="3"/>
  <c r="P102" i="3"/>
  <c r="S101" i="3"/>
  <c r="R101" i="3"/>
  <c r="P101" i="3"/>
  <c r="Q99" i="3"/>
  <c r="Q97" i="3"/>
  <c r="Q96" i="3"/>
  <c r="Q94" i="3"/>
  <c r="Q93" i="3"/>
  <c r="Q92" i="3"/>
  <c r="Q91" i="3"/>
  <c r="Q90" i="3"/>
  <c r="S89" i="3"/>
  <c r="R89" i="3"/>
  <c r="P89" i="3"/>
  <c r="S88" i="3"/>
  <c r="R88" i="3"/>
  <c r="P88" i="3"/>
  <c r="S87" i="3"/>
  <c r="R87" i="3"/>
  <c r="P87" i="3"/>
  <c r="S86" i="3"/>
  <c r="R86" i="3"/>
  <c r="P86" i="3"/>
  <c r="Q83" i="3"/>
  <c r="Q82" i="3"/>
  <c r="Q81" i="3"/>
  <c r="P79" i="3"/>
  <c r="P78" i="3"/>
  <c r="P77" i="3"/>
  <c r="P76" i="3"/>
  <c r="Q74" i="3"/>
  <c r="Q73" i="3"/>
  <c r="Q72" i="3"/>
  <c r="Q71" i="3"/>
  <c r="Q70" i="3"/>
  <c r="Q69" i="3"/>
  <c r="Q68" i="3"/>
  <c r="Q67" i="3"/>
  <c r="Q66" i="3"/>
  <c r="Q65" i="3"/>
  <c r="Q64" i="3"/>
  <c r="Q63" i="3"/>
  <c r="Q62" i="3"/>
  <c r="Q61" i="3"/>
  <c r="Q60" i="3"/>
  <c r="Q58" i="3"/>
  <c r="Q57" i="3"/>
  <c r="Q55" i="3"/>
  <c r="Q53" i="3"/>
  <c r="Q52" i="3"/>
  <c r="Q39" i="3"/>
  <c r="Q38" i="3"/>
  <c r="Q37" i="3"/>
  <c r="Q36" i="3"/>
  <c r="Q35" i="3"/>
  <c r="Q33" i="3"/>
  <c r="Q32" i="3"/>
  <c r="Q31" i="3"/>
  <c r="Q30" i="3"/>
  <c r="Q29" i="3"/>
  <c r="S26" i="3"/>
  <c r="R26" i="3"/>
  <c r="P26" i="3"/>
  <c r="S25" i="3"/>
  <c r="R25" i="3"/>
  <c r="P25" i="3"/>
  <c r="S24" i="3"/>
  <c r="R24" i="3"/>
  <c r="Q24" i="3"/>
  <c r="S23" i="3"/>
  <c r="R23" i="3"/>
  <c r="P23" i="3"/>
  <c r="S22" i="3"/>
  <c r="R22" i="3"/>
  <c r="P22" i="3"/>
  <c r="S21" i="3"/>
  <c r="R21" i="3"/>
  <c r="P21" i="3"/>
  <c r="S20" i="3"/>
  <c r="R20" i="3"/>
  <c r="P20" i="3"/>
  <c r="S19" i="3"/>
  <c r="R19" i="3"/>
  <c r="P19" i="3"/>
  <c r="S18" i="3"/>
  <c r="R18" i="3"/>
  <c r="P18" i="3"/>
  <c r="S17" i="3"/>
  <c r="R17" i="3"/>
  <c r="P17" i="3"/>
  <c r="S16" i="3"/>
  <c r="R16" i="3"/>
  <c r="P16" i="3"/>
  <c r="S15" i="3"/>
  <c r="R15" i="3"/>
  <c r="P15" i="3"/>
  <c r="S14" i="3"/>
  <c r="R14" i="3"/>
  <c r="S13" i="3"/>
  <c r="R13" i="3"/>
  <c r="Q13" i="3"/>
  <c r="S12" i="3"/>
  <c r="R12" i="3"/>
  <c r="S11" i="3"/>
  <c r="R11" i="3"/>
  <c r="P11" i="3"/>
  <c r="S10" i="3"/>
  <c r="R10" i="3"/>
  <c r="P10" i="3"/>
  <c r="S9" i="3"/>
  <c r="R9" i="3"/>
  <c r="P9" i="3"/>
  <c r="Q7" i="3"/>
  <c r="R7" i="3"/>
  <c r="Q6" i="3"/>
  <c r="J52" i="4" l="1"/>
  <c r="J3" i="4"/>
  <c r="U5654" i="20"/>
  <c r="U5655" i="20"/>
  <c r="U5656" i="20"/>
  <c r="U5657" i="20"/>
  <c r="U5658" i="20"/>
  <c r="U5659" i="20"/>
  <c r="U5660" i="20"/>
  <c r="U5661" i="20"/>
  <c r="U5662" i="20"/>
  <c r="U5663" i="20"/>
  <c r="U5664" i="20"/>
  <c r="U5665" i="20"/>
  <c r="U5666" i="20"/>
  <c r="U5667" i="20"/>
  <c r="U5668" i="20"/>
  <c r="U5669" i="20"/>
  <c r="U5670" i="20"/>
  <c r="U5671" i="20"/>
  <c r="U5672" i="20"/>
  <c r="U5673" i="20"/>
  <c r="U5674" i="20"/>
  <c r="U5675" i="20"/>
  <c r="U5676" i="20"/>
  <c r="U5677" i="20"/>
  <c r="U5678" i="20"/>
  <c r="U5679" i="20"/>
  <c r="U5680" i="20"/>
  <c r="U5681" i="20"/>
  <c r="U5682" i="20"/>
  <c r="U5683" i="20"/>
  <c r="U5684" i="20"/>
  <c r="U5685" i="20"/>
  <c r="U5686" i="20"/>
  <c r="U5687" i="20"/>
  <c r="U5688" i="20"/>
  <c r="U5689" i="20"/>
  <c r="U5690" i="20"/>
  <c r="U5691" i="20"/>
  <c r="U5692" i="20"/>
  <c r="U5693" i="20"/>
  <c r="U5694" i="20"/>
  <c r="U5695" i="20"/>
  <c r="U5696" i="20"/>
  <c r="U5697" i="20"/>
  <c r="U5698" i="20"/>
  <c r="U5699" i="20"/>
  <c r="U5700" i="20"/>
  <c r="U5701" i="20"/>
  <c r="U5702" i="20"/>
  <c r="U5703" i="20"/>
  <c r="U5704" i="20"/>
  <c r="U5705" i="20"/>
  <c r="U5706" i="20"/>
  <c r="U5707" i="20"/>
  <c r="U5708" i="20"/>
  <c r="U5709" i="20"/>
  <c r="U5710" i="20"/>
  <c r="U5711" i="20"/>
  <c r="U5712" i="20"/>
  <c r="U5713" i="20"/>
  <c r="U5714" i="20"/>
  <c r="U5715" i="20"/>
  <c r="U5716" i="20"/>
  <c r="U5717" i="20"/>
  <c r="U5718" i="20"/>
  <c r="U5719" i="20"/>
  <c r="U5720" i="20"/>
  <c r="U5721" i="20"/>
  <c r="U5722" i="20"/>
  <c r="U5723" i="20"/>
  <c r="U5724" i="20"/>
  <c r="U5725" i="20"/>
  <c r="U5726" i="20"/>
  <c r="U5727" i="20"/>
  <c r="U5728" i="20"/>
  <c r="U5729" i="20"/>
  <c r="U5730" i="20"/>
  <c r="U5731" i="20"/>
  <c r="U5732" i="20"/>
  <c r="U5733" i="20"/>
  <c r="U5734" i="20"/>
  <c r="U5735" i="20"/>
  <c r="U5736" i="20"/>
  <c r="U5737" i="20"/>
  <c r="U5738" i="20"/>
  <c r="U5739" i="20"/>
  <c r="U5740" i="20"/>
  <c r="U5741" i="20"/>
  <c r="U5742" i="20"/>
  <c r="U5743" i="20"/>
  <c r="U5744" i="20"/>
  <c r="U5745" i="20"/>
  <c r="U5746" i="20"/>
  <c r="U5747" i="20"/>
  <c r="U5748" i="20"/>
  <c r="U5749" i="20"/>
  <c r="U5750" i="20"/>
  <c r="U5751" i="20"/>
  <c r="U5752" i="20"/>
  <c r="U5753" i="20"/>
  <c r="U5754" i="20"/>
  <c r="U5755" i="20"/>
  <c r="U5756" i="20"/>
  <c r="U5757" i="20"/>
  <c r="U5758" i="20"/>
  <c r="U5759" i="20"/>
  <c r="U5760" i="20"/>
  <c r="U5761" i="20"/>
  <c r="U5762" i="20"/>
  <c r="U5763" i="20"/>
  <c r="U5764" i="20"/>
  <c r="U5765" i="20"/>
  <c r="U5766" i="20"/>
  <c r="U5767" i="20"/>
  <c r="U5768" i="20"/>
  <c r="U5769" i="20"/>
  <c r="U5770" i="20"/>
  <c r="U5771" i="20"/>
  <c r="U5772" i="20"/>
  <c r="U5773" i="20"/>
  <c r="U5774" i="20"/>
  <c r="U5775" i="20"/>
  <c r="U5776" i="20"/>
  <c r="U5777" i="20"/>
  <c r="U5778" i="20"/>
  <c r="U5779" i="20"/>
  <c r="U5780" i="20"/>
  <c r="U5781" i="20"/>
  <c r="U5782" i="20"/>
  <c r="U5783" i="20"/>
  <c r="U5784" i="20"/>
  <c r="U5785" i="20"/>
  <c r="U5786" i="20"/>
  <c r="U5787" i="20"/>
  <c r="U5788" i="20"/>
  <c r="U5789" i="20"/>
  <c r="U5790" i="20"/>
  <c r="U5791" i="20"/>
  <c r="U5792" i="20"/>
  <c r="U5793" i="20"/>
  <c r="U5794" i="20"/>
  <c r="U5795" i="20"/>
  <c r="U5796" i="20"/>
  <c r="U5797" i="20"/>
  <c r="U5798" i="20"/>
  <c r="U5799" i="20"/>
  <c r="U5800" i="20"/>
  <c r="U5801" i="20"/>
  <c r="U5802" i="20"/>
  <c r="U5803" i="20"/>
  <c r="U5804" i="20"/>
  <c r="U5805" i="20"/>
  <c r="U5806" i="20"/>
  <c r="U5807" i="20"/>
  <c r="U5808" i="20"/>
  <c r="U5809" i="20"/>
  <c r="U5810" i="20"/>
  <c r="U5811" i="20"/>
  <c r="U5812" i="20"/>
  <c r="U5813" i="20"/>
  <c r="U5814" i="20"/>
  <c r="U5815" i="20"/>
  <c r="U5816" i="20"/>
  <c r="U5817" i="20"/>
  <c r="U5818" i="20"/>
  <c r="U5819" i="20"/>
  <c r="U5820" i="20"/>
  <c r="U5821" i="20"/>
  <c r="U5822" i="20"/>
  <c r="U5823" i="20"/>
  <c r="U5824" i="20"/>
  <c r="U5825" i="20"/>
  <c r="U5826" i="20"/>
  <c r="U5827" i="20"/>
  <c r="U5828" i="20"/>
  <c r="U5829" i="20"/>
  <c r="U5830" i="20"/>
  <c r="U5831" i="20"/>
  <c r="U5832" i="20"/>
  <c r="U5833" i="20"/>
  <c r="U5834" i="20"/>
  <c r="U5835" i="20"/>
  <c r="U5836" i="20"/>
  <c r="U5837" i="20"/>
  <c r="U5838" i="20"/>
  <c r="U5839" i="20"/>
  <c r="U5840" i="20"/>
  <c r="U5841" i="20"/>
  <c r="U5842" i="20"/>
  <c r="U5843" i="20"/>
  <c r="U5844" i="20"/>
  <c r="U5845" i="20"/>
  <c r="U5846" i="20"/>
  <c r="U5847" i="20"/>
  <c r="U5848" i="20"/>
  <c r="U5849" i="20"/>
  <c r="U5850" i="20"/>
  <c r="U5851" i="20"/>
  <c r="U5852" i="20"/>
  <c r="U5853" i="20"/>
  <c r="U5854" i="20"/>
  <c r="U5855" i="20"/>
  <c r="U5856" i="20"/>
  <c r="U5857" i="20"/>
  <c r="U5858" i="20"/>
  <c r="U5859" i="20"/>
  <c r="U5860" i="20"/>
  <c r="U5861" i="20"/>
  <c r="U5862" i="20"/>
  <c r="U5863" i="20"/>
  <c r="U5864" i="20"/>
  <c r="U5865" i="20"/>
  <c r="U5866" i="20"/>
  <c r="U5867" i="20"/>
  <c r="U5868" i="20"/>
  <c r="U5869" i="20"/>
  <c r="U5870" i="20"/>
  <c r="U5871" i="20"/>
  <c r="U5872" i="20"/>
  <c r="U5873" i="20"/>
  <c r="D44" i="1"/>
  <c r="D14" i="20" l="1"/>
  <c r="G12" i="1" s="1"/>
  <c r="U5653" i="20"/>
  <c r="U5652" i="20"/>
  <c r="U5651" i="20"/>
  <c r="U5650" i="20"/>
  <c r="U5649" i="20"/>
  <c r="U5648" i="20"/>
  <c r="U5647" i="20"/>
  <c r="U5646" i="20"/>
  <c r="U5645" i="20"/>
  <c r="U5644" i="20"/>
  <c r="U5643" i="20"/>
  <c r="U5642" i="20"/>
  <c r="U5641" i="20"/>
  <c r="U5640" i="20"/>
  <c r="U5639" i="20"/>
  <c r="U5638" i="20"/>
  <c r="U5637" i="20"/>
  <c r="U5636" i="20"/>
  <c r="U5635" i="20"/>
  <c r="U5634" i="20"/>
  <c r="U5633" i="20"/>
  <c r="U5632" i="20"/>
  <c r="U5631" i="20"/>
  <c r="U5630" i="20"/>
  <c r="U5629" i="20"/>
  <c r="U5628" i="20"/>
  <c r="U5627" i="20"/>
  <c r="U5626" i="20"/>
  <c r="U5625" i="20"/>
  <c r="U5624" i="20"/>
  <c r="U5623" i="20"/>
  <c r="U5622" i="20"/>
  <c r="U5621" i="20"/>
  <c r="U5620" i="20"/>
  <c r="U5619" i="20"/>
  <c r="U5618" i="20"/>
  <c r="U5617" i="20"/>
  <c r="U5616" i="20"/>
  <c r="U5615" i="20"/>
  <c r="U5614" i="20"/>
  <c r="U5613" i="20"/>
  <c r="U5612" i="20"/>
  <c r="U5611" i="20"/>
  <c r="U5610" i="20"/>
  <c r="U5609" i="20"/>
  <c r="U5608" i="20"/>
  <c r="U5607" i="20"/>
  <c r="U5606" i="20"/>
  <c r="U5605" i="20"/>
  <c r="U5604" i="20"/>
  <c r="U5603" i="20"/>
  <c r="U5602" i="20"/>
  <c r="U5601" i="20"/>
  <c r="U5600" i="20"/>
  <c r="U5599" i="20"/>
  <c r="U5598" i="20"/>
  <c r="U5597" i="20"/>
  <c r="U5596" i="20"/>
  <c r="U5595" i="20"/>
  <c r="U5594" i="20"/>
  <c r="U5593" i="20"/>
  <c r="U5592" i="20"/>
  <c r="U5591" i="20"/>
  <c r="U5590" i="20"/>
  <c r="U5589" i="20"/>
  <c r="U5588" i="20"/>
  <c r="U5587" i="20"/>
  <c r="U5586" i="20"/>
  <c r="U5585" i="20"/>
  <c r="U5584" i="20"/>
  <c r="U5583" i="20"/>
  <c r="U5582" i="20"/>
  <c r="U5581" i="20"/>
  <c r="U5580" i="20"/>
  <c r="U5579" i="20"/>
  <c r="U5578" i="20"/>
  <c r="U5577" i="20"/>
  <c r="U5576" i="20"/>
  <c r="U5575" i="20"/>
  <c r="U5574" i="20"/>
  <c r="U5573" i="20"/>
  <c r="U5572" i="20"/>
  <c r="U5571" i="20"/>
  <c r="U5570" i="20"/>
  <c r="U5569" i="20"/>
  <c r="U5568" i="20"/>
  <c r="U5567" i="20"/>
  <c r="U5566" i="20"/>
  <c r="U5565" i="20"/>
  <c r="U5564" i="20"/>
  <c r="U5563" i="20"/>
  <c r="U5562" i="20"/>
  <c r="U5561" i="20"/>
  <c r="U5560" i="20"/>
  <c r="U5559" i="20"/>
  <c r="U5558" i="20"/>
  <c r="U5557" i="20"/>
  <c r="U5556" i="20"/>
  <c r="U5555" i="20"/>
  <c r="U5554" i="20"/>
  <c r="U5553" i="20"/>
  <c r="U5552" i="20"/>
  <c r="U5551" i="20"/>
  <c r="U5550" i="20"/>
  <c r="U5549" i="20"/>
  <c r="U5548" i="20"/>
  <c r="U5547" i="20"/>
  <c r="U5546" i="20"/>
  <c r="U5545" i="20"/>
  <c r="U5544" i="20"/>
  <c r="U5543" i="20"/>
  <c r="U5542" i="20"/>
  <c r="U5541" i="20"/>
  <c r="U5540" i="20"/>
  <c r="U5539" i="20"/>
  <c r="U5538" i="20"/>
  <c r="U5537" i="20"/>
  <c r="U5536" i="20"/>
  <c r="U5535" i="20"/>
  <c r="U5534" i="20"/>
  <c r="U5533" i="20"/>
  <c r="U5532" i="20"/>
  <c r="U5531" i="20"/>
  <c r="U5530" i="20"/>
  <c r="U5529" i="20"/>
  <c r="U5528" i="20"/>
  <c r="U5527" i="20"/>
  <c r="U5526" i="20"/>
  <c r="U5525" i="20"/>
  <c r="U5524" i="20"/>
  <c r="U5523" i="20"/>
  <c r="U5522" i="20"/>
  <c r="U5521" i="20"/>
  <c r="U5520" i="20"/>
  <c r="U5519" i="20"/>
  <c r="U5518" i="20"/>
  <c r="U5517" i="20"/>
  <c r="U5516" i="20"/>
  <c r="U5515" i="20"/>
  <c r="U5514" i="20"/>
  <c r="U5513" i="20"/>
  <c r="U5512" i="20"/>
  <c r="U5511" i="20"/>
  <c r="U5510" i="20"/>
  <c r="U5509" i="20"/>
  <c r="U5508" i="20"/>
  <c r="U5507" i="20"/>
  <c r="U5506" i="20"/>
  <c r="U5505" i="20"/>
  <c r="U5504" i="20"/>
  <c r="U5503" i="20"/>
  <c r="U5502" i="20"/>
  <c r="U5501" i="20"/>
  <c r="U5500" i="20"/>
  <c r="U5499" i="20"/>
  <c r="U5498" i="20"/>
  <c r="U5497" i="20"/>
  <c r="U5496" i="20"/>
  <c r="U5495" i="20"/>
  <c r="U5494" i="20"/>
  <c r="U5493" i="20"/>
  <c r="U5492" i="20"/>
  <c r="U5491" i="20"/>
  <c r="U5490" i="20"/>
  <c r="U5489" i="20"/>
  <c r="U5488" i="20"/>
  <c r="U5487" i="20"/>
  <c r="U5486" i="20"/>
  <c r="U5485" i="20"/>
  <c r="U5484" i="20"/>
  <c r="U5483" i="20"/>
  <c r="U5482" i="20"/>
  <c r="U5481" i="20"/>
  <c r="U5480" i="20"/>
  <c r="U5479" i="20"/>
  <c r="U5478" i="20"/>
  <c r="U5477" i="20"/>
  <c r="U5476" i="20"/>
  <c r="U5475" i="20"/>
  <c r="U5474" i="20"/>
  <c r="U5473" i="20"/>
  <c r="U5472" i="20"/>
  <c r="U5471" i="20"/>
  <c r="U5470" i="20"/>
  <c r="U5469" i="20"/>
  <c r="U5468" i="20"/>
  <c r="U5467" i="20"/>
  <c r="U5466" i="20"/>
  <c r="U5465" i="20"/>
  <c r="U5464" i="20"/>
  <c r="U5463" i="20"/>
  <c r="U5462" i="20"/>
  <c r="U5461" i="20"/>
  <c r="U5460" i="20"/>
  <c r="U5459" i="20"/>
  <c r="U5458" i="20"/>
  <c r="U5457" i="20"/>
  <c r="U5456" i="20"/>
  <c r="U5455" i="20"/>
  <c r="U5454" i="20"/>
  <c r="U5453" i="20"/>
  <c r="U5452" i="20"/>
  <c r="U5451" i="20"/>
  <c r="U5450" i="20"/>
  <c r="U5449" i="20"/>
  <c r="U5448" i="20"/>
  <c r="U5447" i="20"/>
  <c r="U5446" i="20"/>
  <c r="U5445" i="20"/>
  <c r="U5444" i="20"/>
  <c r="U5443" i="20"/>
  <c r="U5442" i="20"/>
  <c r="U5441" i="20"/>
  <c r="U5440" i="20"/>
  <c r="U5439" i="20"/>
  <c r="U5438" i="20"/>
  <c r="U5437" i="20"/>
  <c r="U5436" i="20"/>
  <c r="U5435" i="20"/>
  <c r="U5434" i="20"/>
  <c r="U5433" i="20"/>
  <c r="U5432" i="20"/>
  <c r="U5431" i="20"/>
  <c r="U5430" i="20"/>
  <c r="U5429" i="20"/>
  <c r="U5428" i="20"/>
  <c r="U5427" i="20"/>
  <c r="U5426" i="20"/>
  <c r="U5425" i="20"/>
  <c r="U5424" i="20"/>
  <c r="U5423" i="20"/>
  <c r="U5422" i="20"/>
  <c r="U5421" i="20"/>
  <c r="U5420" i="20"/>
  <c r="U5419" i="20"/>
  <c r="U5418" i="20"/>
  <c r="U5417" i="20"/>
  <c r="U5416" i="20"/>
  <c r="U5415" i="20"/>
  <c r="U5414" i="20"/>
  <c r="U5413" i="20"/>
  <c r="U5412" i="20"/>
  <c r="U5411" i="20"/>
  <c r="U5410" i="20"/>
  <c r="U5409" i="20"/>
  <c r="U5408" i="20"/>
  <c r="U5407" i="20"/>
  <c r="U5406" i="20"/>
  <c r="U5405" i="20"/>
  <c r="U5404" i="20"/>
  <c r="U5403" i="20"/>
  <c r="U5402" i="20"/>
  <c r="U5401" i="20"/>
  <c r="U5400" i="20"/>
  <c r="U5399" i="20"/>
  <c r="U5398" i="20"/>
  <c r="U5397" i="20"/>
  <c r="U5396" i="20"/>
  <c r="U5395" i="20"/>
  <c r="U5394" i="20"/>
  <c r="U5393" i="20"/>
  <c r="U5392" i="20"/>
  <c r="U5391" i="20"/>
  <c r="U5390" i="20"/>
  <c r="U5389" i="20"/>
  <c r="U5388" i="20"/>
  <c r="U5387" i="20"/>
  <c r="U5386" i="20"/>
  <c r="U5385" i="20"/>
  <c r="U5384" i="20"/>
  <c r="U5383" i="20"/>
  <c r="U5382" i="20"/>
  <c r="U5381" i="20"/>
  <c r="U5380" i="20"/>
  <c r="U5379" i="20"/>
  <c r="U5378" i="20"/>
  <c r="U5377" i="20"/>
  <c r="U5376" i="20"/>
  <c r="U5375" i="20"/>
  <c r="U5374" i="20"/>
  <c r="U5373" i="20"/>
  <c r="U5372" i="20"/>
  <c r="U5371" i="20"/>
  <c r="U5370" i="20"/>
  <c r="U5369" i="20"/>
  <c r="U5368" i="20"/>
  <c r="U5367" i="20"/>
  <c r="U5366" i="20"/>
  <c r="U5365" i="20"/>
  <c r="U5364" i="20"/>
  <c r="U5363" i="20"/>
  <c r="U5362" i="20"/>
  <c r="U5361" i="20"/>
  <c r="U5360" i="20"/>
  <c r="U5359" i="20"/>
  <c r="U5358" i="20"/>
  <c r="U5357" i="20"/>
  <c r="U5356" i="20"/>
  <c r="U5355" i="20"/>
  <c r="U5354" i="20"/>
  <c r="U5353" i="20"/>
  <c r="U5352" i="20"/>
  <c r="U5351" i="20"/>
  <c r="U5350" i="20"/>
  <c r="U5349" i="20"/>
  <c r="U5348" i="20"/>
  <c r="U5347" i="20"/>
  <c r="U5346" i="20"/>
  <c r="U5345" i="20"/>
  <c r="U5344" i="20"/>
  <c r="U5343" i="20"/>
  <c r="U5342" i="20"/>
  <c r="U5341" i="20"/>
  <c r="U5340" i="20"/>
  <c r="U5339" i="20"/>
  <c r="U5338" i="20"/>
  <c r="U5337" i="20"/>
  <c r="U5336" i="20"/>
  <c r="U5335" i="20"/>
  <c r="U5334" i="20"/>
  <c r="U5333" i="20"/>
  <c r="U5332" i="20"/>
  <c r="U5331" i="20"/>
  <c r="U5330" i="20"/>
  <c r="U5329" i="20"/>
  <c r="U5328" i="20"/>
  <c r="U5327" i="20"/>
  <c r="U5326" i="20"/>
  <c r="U5325" i="20"/>
  <c r="U5324" i="20"/>
  <c r="U5323" i="20"/>
  <c r="U5322" i="20"/>
  <c r="U5321" i="20"/>
  <c r="U5320" i="20"/>
  <c r="U5319" i="20"/>
  <c r="U5318" i="20"/>
  <c r="U5317" i="20"/>
  <c r="U5316" i="20"/>
  <c r="U5315" i="20"/>
  <c r="U5314" i="20"/>
  <c r="U5313" i="20"/>
  <c r="U5312" i="20"/>
  <c r="U5311" i="20"/>
  <c r="U5310" i="20"/>
  <c r="U5309" i="20"/>
  <c r="U5308" i="20"/>
  <c r="U5307" i="20"/>
  <c r="U5306" i="20"/>
  <c r="U5305" i="20"/>
  <c r="U5304" i="20"/>
  <c r="U5303" i="20"/>
  <c r="U5302" i="20"/>
  <c r="U5301" i="20"/>
  <c r="U5300" i="20"/>
  <c r="U5299" i="20"/>
  <c r="U5298" i="20"/>
  <c r="U5297" i="20"/>
  <c r="U5296" i="20"/>
  <c r="U5295" i="20"/>
  <c r="U5294" i="20"/>
  <c r="U5293" i="20"/>
  <c r="U5292" i="20"/>
  <c r="U5291" i="20"/>
  <c r="U5290" i="20"/>
  <c r="U5289" i="20"/>
  <c r="U5288" i="20"/>
  <c r="U5287" i="20"/>
  <c r="U5286" i="20"/>
  <c r="U5285" i="20"/>
  <c r="U5284" i="20"/>
  <c r="U5283" i="20"/>
  <c r="U5282" i="20"/>
  <c r="U5281" i="20"/>
  <c r="U5280" i="20"/>
  <c r="U5279" i="20"/>
  <c r="U5278" i="20"/>
  <c r="U5277" i="20"/>
  <c r="U5276" i="20"/>
  <c r="U5275" i="20"/>
  <c r="U5274" i="20"/>
  <c r="U5273" i="20"/>
  <c r="U5272" i="20"/>
  <c r="U5271" i="20"/>
  <c r="U5270" i="20"/>
  <c r="U5269" i="20"/>
  <c r="U5268" i="20"/>
  <c r="U5267" i="20"/>
  <c r="U5266" i="20"/>
  <c r="U5265" i="20"/>
  <c r="U5264" i="20"/>
  <c r="U5263" i="20"/>
  <c r="U5262" i="20"/>
  <c r="U5261" i="20"/>
  <c r="U5260" i="20"/>
  <c r="U5259" i="20"/>
  <c r="U5258" i="20"/>
  <c r="U5257" i="20"/>
  <c r="U5256" i="20"/>
  <c r="U5255" i="20"/>
  <c r="U5254" i="20"/>
  <c r="U5253" i="20"/>
  <c r="U5252" i="20"/>
  <c r="U5251" i="20"/>
  <c r="U5250" i="20"/>
  <c r="U5249" i="20"/>
  <c r="U5248" i="20"/>
  <c r="U5247" i="20"/>
  <c r="U5246" i="20"/>
  <c r="U5245" i="20"/>
  <c r="U5244" i="20"/>
  <c r="U5243" i="20"/>
  <c r="U5242" i="20"/>
  <c r="U5241" i="20"/>
  <c r="U5240" i="20"/>
  <c r="U5239" i="20"/>
  <c r="U5238" i="20"/>
  <c r="U5237" i="20"/>
  <c r="U5236" i="20"/>
  <c r="U5235" i="20"/>
  <c r="U5234" i="20"/>
  <c r="U5233" i="20"/>
  <c r="U5232" i="20"/>
  <c r="U5231" i="20"/>
  <c r="U5230" i="20"/>
  <c r="U5229" i="20"/>
  <c r="U5228" i="20"/>
  <c r="U5227" i="20"/>
  <c r="U5226" i="20"/>
  <c r="U5225" i="20"/>
  <c r="U5224" i="20"/>
  <c r="U5223" i="20"/>
  <c r="U5222" i="20"/>
  <c r="U5221" i="20"/>
  <c r="U5220" i="20"/>
  <c r="U5219" i="20"/>
  <c r="U5218" i="20"/>
  <c r="U5217" i="20"/>
  <c r="U5216" i="20"/>
  <c r="U5215" i="20"/>
  <c r="U5214" i="20"/>
  <c r="U5213" i="20"/>
  <c r="U5212" i="20"/>
  <c r="U5211" i="20"/>
  <c r="U5210" i="20"/>
  <c r="U5209" i="20"/>
  <c r="U5208" i="20"/>
  <c r="U5207" i="20"/>
  <c r="U5206" i="20"/>
  <c r="U5205" i="20"/>
  <c r="U5204" i="20"/>
  <c r="U5203" i="20"/>
  <c r="U5202" i="20"/>
  <c r="U5201" i="20"/>
  <c r="U5200" i="20"/>
  <c r="U5199" i="20"/>
  <c r="U5198" i="20"/>
  <c r="U5197" i="20"/>
  <c r="U5196" i="20"/>
  <c r="U5195" i="20"/>
  <c r="U5194" i="20"/>
  <c r="U5193" i="20"/>
  <c r="U5192" i="20"/>
  <c r="U5191" i="20"/>
  <c r="U5190" i="20"/>
  <c r="U5189" i="20"/>
  <c r="U5188" i="20"/>
  <c r="U5187" i="20"/>
  <c r="U5186" i="20"/>
  <c r="U5185" i="20"/>
  <c r="U5184" i="20"/>
  <c r="U5183" i="20"/>
  <c r="U5182" i="20"/>
  <c r="U5181" i="20"/>
  <c r="U5180" i="20"/>
  <c r="U5179" i="20"/>
  <c r="U5178" i="20"/>
  <c r="U5177" i="20"/>
  <c r="U5176" i="20"/>
  <c r="U5175" i="20"/>
  <c r="U5174" i="20"/>
  <c r="U5173" i="20"/>
  <c r="U5172" i="20"/>
  <c r="U5171" i="20"/>
  <c r="U5170" i="20"/>
  <c r="U5169" i="20"/>
  <c r="U5168" i="20"/>
  <c r="U5167" i="20"/>
  <c r="U5166" i="20"/>
  <c r="U5165" i="20"/>
  <c r="U5164" i="20"/>
  <c r="U5163" i="20"/>
  <c r="U5162" i="20"/>
  <c r="U5161" i="20"/>
  <c r="U5160" i="20"/>
  <c r="U5159" i="20"/>
  <c r="U5158" i="20"/>
  <c r="U5157" i="20"/>
  <c r="U5156" i="20"/>
  <c r="U5155" i="20"/>
  <c r="U5154" i="20"/>
  <c r="U5153" i="20"/>
  <c r="U5152" i="20"/>
  <c r="U5151" i="20"/>
  <c r="U5150" i="20"/>
  <c r="U5149" i="20"/>
  <c r="U5148" i="20"/>
  <c r="U5147" i="20"/>
  <c r="U5146" i="20"/>
  <c r="U5145" i="20"/>
  <c r="U5144" i="20"/>
  <c r="U5143" i="20"/>
  <c r="U5142" i="20"/>
  <c r="U5141" i="20"/>
  <c r="U5140" i="20"/>
  <c r="U5139" i="20"/>
  <c r="U5138" i="20"/>
  <c r="U5137" i="20"/>
  <c r="U5136" i="20"/>
  <c r="U5135" i="20"/>
  <c r="U5134" i="20"/>
  <c r="U5133" i="20"/>
  <c r="U5132" i="20"/>
  <c r="U5131" i="20"/>
  <c r="U5130" i="20"/>
  <c r="U5129" i="20"/>
  <c r="U5128" i="20"/>
  <c r="U5127" i="20"/>
  <c r="U5126" i="20"/>
  <c r="U5125" i="20"/>
  <c r="U5124" i="20"/>
  <c r="U5123" i="20"/>
  <c r="U5122" i="20"/>
  <c r="U5121" i="20"/>
  <c r="U5120" i="20"/>
  <c r="U5119" i="20"/>
  <c r="U5118" i="20"/>
  <c r="U5117" i="20"/>
  <c r="U5116" i="20"/>
  <c r="U5115" i="20"/>
  <c r="U5114" i="20"/>
  <c r="U5113" i="20"/>
  <c r="U5112" i="20"/>
  <c r="U5111" i="20"/>
  <c r="U5110" i="20"/>
  <c r="U5109" i="20"/>
  <c r="U5108" i="20"/>
  <c r="U5107" i="20"/>
  <c r="U5106" i="20"/>
  <c r="U5105" i="20"/>
  <c r="U5104" i="20"/>
  <c r="U5103" i="20"/>
  <c r="U5102" i="20"/>
  <c r="U5101" i="20"/>
  <c r="U5100" i="20"/>
  <c r="U5099" i="20"/>
  <c r="U5098" i="20"/>
  <c r="U5097" i="20"/>
  <c r="U5096" i="20"/>
  <c r="U5095" i="20"/>
  <c r="U5094" i="20"/>
  <c r="U5093" i="20"/>
  <c r="U5092" i="20"/>
  <c r="U5091" i="20"/>
  <c r="U5090" i="20"/>
  <c r="U5089" i="20"/>
  <c r="U5088" i="20"/>
  <c r="U5087" i="20"/>
  <c r="U5086" i="20"/>
  <c r="U5085" i="20"/>
  <c r="U5084" i="20"/>
  <c r="U5083" i="20"/>
  <c r="U5082" i="20"/>
  <c r="U5081" i="20"/>
  <c r="U5080" i="20"/>
  <c r="U5079" i="20"/>
  <c r="U5078" i="20"/>
  <c r="U5077" i="20"/>
  <c r="U5076" i="20"/>
  <c r="U5075" i="20"/>
  <c r="U5074" i="20"/>
  <c r="U5073" i="20"/>
  <c r="U5072" i="20"/>
  <c r="U5071" i="20"/>
  <c r="U5070" i="20"/>
  <c r="U5069" i="20"/>
  <c r="U5068" i="20"/>
  <c r="U5067" i="20"/>
  <c r="U5066" i="20"/>
  <c r="U5065" i="20"/>
  <c r="U5064" i="20"/>
  <c r="U5063" i="20"/>
  <c r="U5062" i="20"/>
  <c r="U5061" i="20"/>
  <c r="U5060" i="20"/>
  <c r="U5059" i="20"/>
  <c r="U5058" i="20"/>
  <c r="U5057" i="20"/>
  <c r="U5056" i="20"/>
  <c r="U5055" i="20"/>
  <c r="U5054" i="20"/>
  <c r="U5053" i="20"/>
  <c r="U5052" i="20"/>
  <c r="U5051" i="20"/>
  <c r="U5050" i="20"/>
  <c r="U5049" i="20"/>
  <c r="U5048" i="20"/>
  <c r="U5047" i="20"/>
  <c r="U5046" i="20"/>
  <c r="U5045" i="20"/>
  <c r="U5044" i="20"/>
  <c r="U5043" i="20"/>
  <c r="U5042" i="20"/>
  <c r="U5041" i="20"/>
  <c r="U5040" i="20"/>
  <c r="U5039" i="20"/>
  <c r="U5038" i="20"/>
  <c r="U5037" i="20"/>
  <c r="U5036" i="20"/>
  <c r="U5035" i="20"/>
  <c r="U5034" i="20"/>
  <c r="U5033" i="20"/>
  <c r="U5032" i="20"/>
  <c r="U5031" i="20"/>
  <c r="U5030" i="20"/>
  <c r="U5029" i="20"/>
  <c r="U5028" i="20"/>
  <c r="U5027" i="20"/>
  <c r="U5026" i="20"/>
  <c r="U5025" i="20"/>
  <c r="U5024" i="20"/>
  <c r="U5023" i="20"/>
  <c r="U5022" i="20"/>
  <c r="U5021" i="20"/>
  <c r="U5020" i="20"/>
  <c r="U5019" i="20"/>
  <c r="U5018" i="20"/>
  <c r="U5017" i="20"/>
  <c r="U5016" i="20"/>
  <c r="U5015" i="20"/>
  <c r="U5014" i="20"/>
  <c r="U5013" i="20"/>
  <c r="U5012" i="20"/>
  <c r="U5011" i="20"/>
  <c r="U5010" i="20"/>
  <c r="U5009" i="20"/>
  <c r="U5008" i="20"/>
  <c r="U5007" i="20"/>
  <c r="U5006" i="20"/>
  <c r="U5005" i="20"/>
  <c r="U5004" i="20"/>
  <c r="U5003" i="20"/>
  <c r="U5002" i="20"/>
  <c r="U5001" i="20"/>
  <c r="U5000" i="20"/>
  <c r="U4999" i="20"/>
  <c r="U4998" i="20"/>
  <c r="U4997" i="20"/>
  <c r="U4996" i="20"/>
  <c r="U4995" i="20"/>
  <c r="U4994" i="20"/>
  <c r="U4993" i="20"/>
  <c r="U4992" i="20"/>
  <c r="U4991" i="20"/>
  <c r="U4990" i="20"/>
  <c r="U4989" i="20"/>
  <c r="U4988" i="20"/>
  <c r="U4987" i="20"/>
  <c r="U4986" i="20"/>
  <c r="U4985" i="20"/>
  <c r="U4984" i="20"/>
  <c r="U4983" i="20"/>
  <c r="U4982" i="20"/>
  <c r="U4981" i="20"/>
  <c r="U4980" i="20"/>
  <c r="U4979" i="20"/>
  <c r="U4978" i="20"/>
  <c r="U4977" i="20"/>
  <c r="U4976" i="20"/>
  <c r="U4975" i="20"/>
  <c r="U4974" i="20"/>
  <c r="U4973" i="20"/>
  <c r="U4972" i="20"/>
  <c r="U4971" i="20"/>
  <c r="U4970" i="20"/>
  <c r="U4969" i="20"/>
  <c r="U4968" i="20"/>
  <c r="U4967" i="20"/>
  <c r="U4966" i="20"/>
  <c r="U4965" i="20"/>
  <c r="U4964" i="20"/>
  <c r="U4963" i="20"/>
  <c r="U4962" i="20"/>
  <c r="U4961" i="20"/>
  <c r="U4960" i="20"/>
  <c r="U4959" i="20"/>
  <c r="U4958" i="20"/>
  <c r="U4957" i="20"/>
  <c r="U4956" i="20"/>
  <c r="U4955" i="20"/>
  <c r="U4954" i="20"/>
  <c r="U4953" i="20"/>
  <c r="U4952" i="20"/>
  <c r="U4951" i="20"/>
  <c r="U4950" i="20"/>
  <c r="U4949" i="20"/>
  <c r="U4948" i="20"/>
  <c r="U4947" i="20"/>
  <c r="U4946" i="20"/>
  <c r="U4945" i="20"/>
  <c r="U4944" i="20"/>
  <c r="U4943" i="20"/>
  <c r="U4942" i="20"/>
  <c r="U4941" i="20"/>
  <c r="U4940" i="20"/>
  <c r="U4939" i="20"/>
  <c r="U4938" i="20"/>
  <c r="U4937" i="20"/>
  <c r="U4936" i="20"/>
  <c r="U4935" i="20"/>
  <c r="U4934" i="20"/>
  <c r="U4933" i="20"/>
  <c r="U4932" i="20"/>
  <c r="U4931" i="20"/>
  <c r="U4930" i="20"/>
  <c r="U4929" i="20"/>
  <c r="U4928" i="20"/>
  <c r="U4927" i="20"/>
  <c r="U4926" i="20"/>
  <c r="U4925" i="20"/>
  <c r="U4924" i="20"/>
  <c r="U4923" i="20"/>
  <c r="U4922" i="20"/>
  <c r="U4921" i="20"/>
  <c r="U4920" i="20"/>
  <c r="U4919" i="20"/>
  <c r="U4918" i="20"/>
  <c r="U4917" i="20"/>
  <c r="U4916" i="20"/>
  <c r="U4915" i="20"/>
  <c r="U4914" i="20"/>
  <c r="U4913" i="20"/>
  <c r="U4912" i="20"/>
  <c r="U4911" i="20"/>
  <c r="U4910" i="20"/>
  <c r="U4909" i="20"/>
  <c r="U4908" i="20"/>
  <c r="U4907" i="20"/>
  <c r="U4906" i="20"/>
  <c r="U4905" i="20"/>
  <c r="U4904" i="20"/>
  <c r="U4903" i="20"/>
  <c r="U4902" i="20"/>
  <c r="U4901" i="20"/>
  <c r="U4900" i="20"/>
  <c r="U4899" i="20"/>
  <c r="U4898" i="20"/>
  <c r="U4897" i="20"/>
  <c r="U4896" i="20"/>
  <c r="U4895" i="20"/>
  <c r="U4894" i="20"/>
  <c r="U4893" i="20"/>
  <c r="U4892" i="20"/>
  <c r="U4891" i="20"/>
  <c r="U4890" i="20"/>
  <c r="U4889" i="20"/>
  <c r="U4888" i="20"/>
  <c r="U4887" i="20"/>
  <c r="U4886" i="20"/>
  <c r="U4885" i="20"/>
  <c r="U4884" i="20"/>
  <c r="U4883" i="20"/>
  <c r="U4882" i="20"/>
  <c r="U4881" i="20"/>
  <c r="U4880" i="20"/>
  <c r="U4879" i="20"/>
  <c r="U4878" i="20"/>
  <c r="U4877" i="20"/>
  <c r="U4876" i="20"/>
  <c r="U4875" i="20"/>
  <c r="U4874" i="20"/>
  <c r="U4873" i="20"/>
  <c r="U4872" i="20"/>
  <c r="U4871" i="20"/>
  <c r="U4870" i="20"/>
  <c r="U4869" i="20"/>
  <c r="U4868" i="20"/>
  <c r="U4867" i="20"/>
  <c r="U4866" i="20"/>
  <c r="U4865" i="20"/>
  <c r="U4864" i="20"/>
  <c r="U4863" i="20"/>
  <c r="U4862" i="20"/>
  <c r="U4861" i="20"/>
  <c r="U4860" i="20"/>
  <c r="U4859" i="20"/>
  <c r="U4858" i="20"/>
  <c r="U4857" i="20"/>
  <c r="U4856" i="20"/>
  <c r="U4855" i="20"/>
  <c r="U4854" i="20"/>
  <c r="U4853" i="20"/>
  <c r="U4852" i="20"/>
  <c r="U4851" i="20"/>
  <c r="U4850" i="20"/>
  <c r="U4849" i="20"/>
  <c r="U4848" i="20"/>
  <c r="U4847" i="20"/>
  <c r="U4846" i="20"/>
  <c r="U4845" i="20"/>
  <c r="U4844" i="20"/>
  <c r="U4843" i="20"/>
  <c r="U4842" i="20"/>
  <c r="U4841" i="20"/>
  <c r="U4840" i="20"/>
  <c r="U4839" i="20"/>
  <c r="U4838" i="20"/>
  <c r="U4837" i="20"/>
  <c r="U4836" i="20"/>
  <c r="U4835" i="20"/>
  <c r="U4834" i="20"/>
  <c r="U4833" i="20"/>
  <c r="U4832" i="20"/>
  <c r="U4831" i="20"/>
  <c r="U4830" i="20"/>
  <c r="U4829" i="20"/>
  <c r="U4828" i="20"/>
  <c r="U4827" i="20"/>
  <c r="U4826" i="20"/>
  <c r="U4825" i="20"/>
  <c r="U4824" i="20"/>
  <c r="U4823" i="20"/>
  <c r="U4822" i="20"/>
  <c r="U4821" i="20"/>
  <c r="U4820" i="20"/>
  <c r="U4819" i="20"/>
  <c r="U4818" i="20"/>
  <c r="U4817" i="20"/>
  <c r="U4816" i="20"/>
  <c r="U4815" i="20"/>
  <c r="U4814" i="20"/>
  <c r="U4813" i="20"/>
  <c r="U4812" i="20"/>
  <c r="U4811" i="20"/>
  <c r="U4810" i="20"/>
  <c r="U4809" i="20"/>
  <c r="U4808" i="20"/>
  <c r="U4807" i="20"/>
  <c r="U4806" i="20"/>
  <c r="U4805" i="20"/>
  <c r="U4804" i="20"/>
  <c r="U4803" i="20"/>
  <c r="U4802" i="20"/>
  <c r="U4801" i="20"/>
  <c r="U4800" i="20"/>
  <c r="U4799" i="20"/>
  <c r="U4798" i="20"/>
  <c r="U4797" i="20"/>
  <c r="U4796" i="20"/>
  <c r="U4795" i="20"/>
  <c r="U4794" i="20"/>
  <c r="U4793" i="20"/>
  <c r="U4792" i="20"/>
  <c r="U4791" i="20"/>
  <c r="U4790" i="20"/>
  <c r="U4789" i="20"/>
  <c r="U4788" i="20"/>
  <c r="U4787" i="20"/>
  <c r="U4786" i="20"/>
  <c r="U4785" i="20"/>
  <c r="U4784" i="20"/>
  <c r="U4783" i="20"/>
  <c r="U4782" i="20"/>
  <c r="U4781" i="20"/>
  <c r="U4780" i="20"/>
  <c r="U4779" i="20"/>
  <c r="U4778" i="20"/>
  <c r="U4777" i="20"/>
  <c r="U4776" i="20"/>
  <c r="U4775" i="20"/>
  <c r="U4774" i="20"/>
  <c r="U4773" i="20"/>
  <c r="U4772" i="20"/>
  <c r="U4771" i="20"/>
  <c r="U4770" i="20"/>
  <c r="U4769" i="20"/>
  <c r="U4768" i="20"/>
  <c r="U4767" i="20"/>
  <c r="U4766" i="20"/>
  <c r="U4765" i="20"/>
  <c r="U4764" i="20"/>
  <c r="U4763" i="20"/>
  <c r="U4762" i="20"/>
  <c r="U4761" i="20"/>
  <c r="U4760" i="20"/>
  <c r="U4759" i="20"/>
  <c r="U4758" i="20"/>
  <c r="U4757" i="20"/>
  <c r="U4756" i="20"/>
  <c r="U4755" i="20"/>
  <c r="U4754" i="20"/>
  <c r="U4753" i="20"/>
  <c r="U4752" i="20"/>
  <c r="U4751" i="20"/>
  <c r="U4750" i="20"/>
  <c r="U4749" i="20"/>
  <c r="U4748" i="20"/>
  <c r="U4747" i="20"/>
  <c r="U4746" i="20"/>
  <c r="U4745" i="20"/>
  <c r="U4744" i="20"/>
  <c r="U4743" i="20"/>
  <c r="U4742" i="20"/>
  <c r="U4741" i="20"/>
  <c r="U4740" i="20"/>
  <c r="U4739" i="20"/>
  <c r="U4738" i="20"/>
  <c r="U4737" i="20"/>
  <c r="U4736" i="20"/>
  <c r="U4735" i="20"/>
  <c r="U4734" i="20"/>
  <c r="U4733" i="20"/>
  <c r="U4732" i="20"/>
  <c r="U4731" i="20"/>
  <c r="U4730" i="20"/>
  <c r="U4729" i="20"/>
  <c r="U4728" i="20"/>
  <c r="U4727" i="20"/>
  <c r="U4726" i="20"/>
  <c r="U4725" i="20"/>
  <c r="U4724" i="20"/>
  <c r="U4723" i="20"/>
  <c r="U4722" i="20"/>
  <c r="U4721" i="20"/>
  <c r="U4720" i="20"/>
  <c r="U4719" i="20"/>
  <c r="U4718" i="20"/>
  <c r="U4717" i="20"/>
  <c r="U4716" i="20"/>
  <c r="U4715" i="20"/>
  <c r="U4714" i="20"/>
  <c r="U4713" i="20"/>
  <c r="U4712" i="20"/>
  <c r="U4711" i="20"/>
  <c r="U4710" i="20"/>
  <c r="U4709" i="20"/>
  <c r="U4708" i="20"/>
  <c r="U4707" i="20"/>
  <c r="U4706" i="20"/>
  <c r="U4705" i="20"/>
  <c r="U4704" i="20"/>
  <c r="U4703" i="20"/>
  <c r="U4702" i="20"/>
  <c r="U4701" i="20"/>
  <c r="U4700" i="20"/>
  <c r="U4699" i="20"/>
  <c r="U4698" i="20"/>
  <c r="U4697" i="20"/>
  <c r="U4696" i="20"/>
  <c r="U4695" i="20"/>
  <c r="U4694" i="20"/>
  <c r="U4693" i="20"/>
  <c r="U4692" i="20"/>
  <c r="U4691" i="20"/>
  <c r="U4690" i="20"/>
  <c r="U4689" i="20"/>
  <c r="U4688" i="20"/>
  <c r="U4687" i="20"/>
  <c r="U4686" i="20"/>
  <c r="U4685" i="20"/>
  <c r="U4684" i="20"/>
  <c r="U4683" i="20"/>
  <c r="U4682" i="20"/>
  <c r="U4681" i="20"/>
  <c r="U4680" i="20"/>
  <c r="U4679" i="20"/>
  <c r="U4678" i="20"/>
  <c r="U4677" i="20"/>
  <c r="U4676" i="20"/>
  <c r="U4675" i="20"/>
  <c r="U4674" i="20"/>
  <c r="U4673" i="20"/>
  <c r="U4672" i="20"/>
  <c r="U4671" i="20"/>
  <c r="U4670" i="20"/>
  <c r="U4669" i="20"/>
  <c r="U4668" i="20"/>
  <c r="U4667" i="20"/>
  <c r="U4666" i="20"/>
  <c r="U4665" i="20"/>
  <c r="U4664" i="20"/>
  <c r="U4663" i="20"/>
  <c r="U4662" i="20"/>
  <c r="U4661" i="20"/>
  <c r="U4660" i="20"/>
  <c r="U4659" i="20"/>
  <c r="U4658" i="20"/>
  <c r="U4657" i="20"/>
  <c r="U4656" i="20"/>
  <c r="U4655" i="20"/>
  <c r="U4654" i="20"/>
  <c r="U4653" i="20"/>
  <c r="U4652" i="20"/>
  <c r="U4651" i="20"/>
  <c r="U4650" i="20"/>
  <c r="U4649" i="20"/>
  <c r="U4648" i="20"/>
  <c r="U4647" i="20"/>
  <c r="U4646" i="20"/>
  <c r="U4645" i="20"/>
  <c r="U4644" i="20"/>
  <c r="U4643" i="20"/>
  <c r="U4642" i="20"/>
  <c r="U4641" i="20"/>
  <c r="U4640" i="20"/>
  <c r="U4639" i="20"/>
  <c r="U4638" i="20"/>
  <c r="U4637" i="20"/>
  <c r="U4636" i="20"/>
  <c r="U4635" i="20"/>
  <c r="U4634" i="20"/>
  <c r="U4633" i="20"/>
  <c r="U4632" i="20"/>
  <c r="U4631" i="20"/>
  <c r="U4630" i="20"/>
  <c r="U4629" i="20"/>
  <c r="U4628" i="20"/>
  <c r="U4627" i="20"/>
  <c r="U4626" i="20"/>
  <c r="U4625" i="20"/>
  <c r="U4624" i="20"/>
  <c r="U4623" i="20"/>
  <c r="U4622" i="20"/>
  <c r="U4621" i="20"/>
  <c r="U4620" i="20"/>
  <c r="U4619" i="20"/>
  <c r="U4618" i="20"/>
  <c r="U4617" i="20"/>
  <c r="U4616" i="20"/>
  <c r="U4615" i="20"/>
  <c r="U4614" i="20"/>
  <c r="U4613" i="20"/>
  <c r="U4612" i="20"/>
  <c r="U4611" i="20"/>
  <c r="U4610" i="20"/>
  <c r="U4609" i="20"/>
  <c r="U4608" i="20"/>
  <c r="U4607" i="20"/>
  <c r="U4606" i="20"/>
  <c r="U4605" i="20"/>
  <c r="U4604" i="20"/>
  <c r="U4603" i="20"/>
  <c r="U4602" i="20"/>
  <c r="U4601" i="20"/>
  <c r="U4600" i="20"/>
  <c r="U4599" i="20"/>
  <c r="U4598" i="20"/>
  <c r="U4597" i="20"/>
  <c r="U4596" i="20"/>
  <c r="U4595" i="20"/>
  <c r="U4594" i="20"/>
  <c r="U4593" i="20"/>
  <c r="U4592" i="20"/>
  <c r="U4591" i="20"/>
  <c r="U4590" i="20"/>
  <c r="U4589" i="20"/>
  <c r="U4588" i="20"/>
  <c r="U4587" i="20"/>
  <c r="U4586" i="20"/>
  <c r="U4585" i="20"/>
  <c r="U4584" i="20"/>
  <c r="U4583" i="20"/>
  <c r="U4582" i="20"/>
  <c r="U4581" i="20"/>
  <c r="U4580" i="20"/>
  <c r="U4579" i="20"/>
  <c r="U4578" i="20"/>
  <c r="U4577" i="20"/>
  <c r="U4576" i="20"/>
  <c r="U4575" i="20"/>
  <c r="U4574" i="20"/>
  <c r="U4573" i="20"/>
  <c r="U4572" i="20"/>
  <c r="U4571" i="20"/>
  <c r="U4570" i="20"/>
  <c r="U4569" i="20"/>
  <c r="U4568" i="20"/>
  <c r="U4567" i="20"/>
  <c r="U4566" i="20"/>
  <c r="U4565" i="20"/>
  <c r="U4564" i="20"/>
  <c r="U4563" i="20"/>
  <c r="U4562" i="20"/>
  <c r="U4561" i="20"/>
  <c r="U4560" i="20"/>
  <c r="U4559" i="20"/>
  <c r="U4558" i="20"/>
  <c r="U4557" i="20"/>
  <c r="U4556" i="20"/>
  <c r="U4555" i="20"/>
  <c r="U4554" i="20"/>
  <c r="U4553" i="20"/>
  <c r="U4552" i="20"/>
  <c r="U4551" i="20"/>
  <c r="U4550" i="20"/>
  <c r="U4549" i="20"/>
  <c r="U4548" i="20"/>
  <c r="U4547" i="20"/>
  <c r="U4546" i="20"/>
  <c r="U4545" i="20"/>
  <c r="U4544" i="20"/>
  <c r="U4543" i="20"/>
  <c r="U4542" i="20"/>
  <c r="U4541" i="20"/>
  <c r="U4540" i="20"/>
  <c r="U4539" i="20"/>
  <c r="U4538" i="20"/>
  <c r="U4537" i="20"/>
  <c r="U4536" i="20"/>
  <c r="U4535" i="20"/>
  <c r="U4534" i="20"/>
  <c r="U4533" i="20"/>
  <c r="U4532" i="20"/>
  <c r="U4531" i="20"/>
  <c r="U4530" i="20"/>
  <c r="U4529" i="20"/>
  <c r="U4528" i="20"/>
  <c r="U4527" i="20"/>
  <c r="U4526" i="20"/>
  <c r="U4525" i="20"/>
  <c r="U4524" i="20"/>
  <c r="U4523" i="20"/>
  <c r="U4522" i="20"/>
  <c r="U4521" i="20"/>
  <c r="U4520" i="20"/>
  <c r="U4519" i="20"/>
  <c r="U4518" i="20"/>
  <c r="U4517" i="20"/>
  <c r="U4516" i="20"/>
  <c r="U4515" i="20"/>
  <c r="U4514" i="20"/>
  <c r="U4513" i="20"/>
  <c r="U4512" i="20"/>
  <c r="U4511" i="20"/>
  <c r="U4510" i="20"/>
  <c r="U4509" i="20"/>
  <c r="U4508" i="20"/>
  <c r="U4507" i="20"/>
  <c r="U4506" i="20"/>
  <c r="U4505" i="20"/>
  <c r="U4504" i="20"/>
  <c r="U4503" i="20"/>
  <c r="U4502" i="20"/>
  <c r="U4501" i="20"/>
  <c r="U4500" i="20"/>
  <c r="U4499" i="20"/>
  <c r="U4498" i="20"/>
  <c r="U4497" i="20"/>
  <c r="U4496" i="20"/>
  <c r="U4495" i="20"/>
  <c r="U4494" i="20"/>
  <c r="U4493" i="20"/>
  <c r="U4492" i="20"/>
  <c r="U4491" i="20"/>
  <c r="U4490" i="20"/>
  <c r="U4489" i="20"/>
  <c r="U4488" i="20"/>
  <c r="U4487" i="20"/>
  <c r="U4486" i="20"/>
  <c r="U4485" i="20"/>
  <c r="U4484" i="20"/>
  <c r="U4483" i="20"/>
  <c r="U4482" i="20"/>
  <c r="U4481" i="20"/>
  <c r="U4480" i="20"/>
  <c r="U4479" i="20"/>
  <c r="U4478" i="20"/>
  <c r="U4477" i="20"/>
  <c r="U4476" i="20"/>
  <c r="U4475" i="20"/>
  <c r="U4474" i="20"/>
  <c r="U4473" i="20"/>
  <c r="U4472" i="20"/>
  <c r="U4471" i="20"/>
  <c r="U4470" i="20"/>
  <c r="U4469" i="20"/>
  <c r="U4468" i="20"/>
  <c r="U4467" i="20"/>
  <c r="U4466" i="20"/>
  <c r="U4465" i="20"/>
  <c r="U4464" i="20"/>
  <c r="U4463" i="20"/>
  <c r="U4462" i="20"/>
  <c r="U4461" i="20"/>
  <c r="U4460" i="20"/>
  <c r="U4459" i="20"/>
  <c r="U4458" i="20"/>
  <c r="U4457" i="20"/>
  <c r="U4456" i="20"/>
  <c r="U4455" i="20"/>
  <c r="U4454" i="20"/>
  <c r="U4453" i="20"/>
  <c r="U4452" i="20"/>
  <c r="U4451" i="20"/>
  <c r="U4450" i="20"/>
  <c r="U4449" i="20"/>
  <c r="U4448" i="20"/>
  <c r="U4447" i="20"/>
  <c r="U4446" i="20"/>
  <c r="U4445" i="20"/>
  <c r="U4444" i="20"/>
  <c r="U4443" i="20"/>
  <c r="U4442" i="20"/>
  <c r="U4441" i="20"/>
  <c r="U4440" i="20"/>
  <c r="U4439" i="20"/>
  <c r="U4438" i="20"/>
  <c r="U4437" i="20"/>
  <c r="U4436" i="20"/>
  <c r="U4435" i="20"/>
  <c r="U4434" i="20"/>
  <c r="U4433" i="20"/>
  <c r="U4432" i="20"/>
  <c r="U4431" i="20"/>
  <c r="U4430" i="20"/>
  <c r="U4429" i="20"/>
  <c r="U4428" i="20"/>
  <c r="U4427" i="20"/>
  <c r="U4426" i="20"/>
  <c r="U4425" i="20"/>
  <c r="U4424" i="20"/>
  <c r="U4423" i="20"/>
  <c r="U4422" i="20"/>
  <c r="U4421" i="20"/>
  <c r="U4420" i="20"/>
  <c r="U4419" i="20"/>
  <c r="U4418" i="20"/>
  <c r="U4417" i="20"/>
  <c r="U4416" i="20"/>
  <c r="U4415" i="20"/>
  <c r="U4414" i="20"/>
  <c r="U4413" i="20"/>
  <c r="U4412" i="20"/>
  <c r="U4411" i="20"/>
  <c r="U4410" i="20"/>
  <c r="U4409" i="20"/>
  <c r="U4408" i="20"/>
  <c r="U4407" i="20"/>
  <c r="U4406" i="20"/>
  <c r="U4405" i="20"/>
  <c r="U4404" i="20"/>
  <c r="U4403" i="20"/>
  <c r="U4402" i="20"/>
  <c r="U4401" i="20"/>
  <c r="U4400" i="20"/>
  <c r="U4399" i="20"/>
  <c r="U4398" i="20"/>
  <c r="U4397" i="20"/>
  <c r="U4396" i="20"/>
  <c r="U4395" i="20"/>
  <c r="U4394" i="20"/>
  <c r="U4393" i="20"/>
  <c r="U4392" i="20"/>
  <c r="U4391" i="20"/>
  <c r="U4390" i="20"/>
  <c r="U4389" i="20"/>
  <c r="U4388" i="20"/>
  <c r="U4387" i="20"/>
  <c r="U4386" i="20"/>
  <c r="U4385" i="20"/>
  <c r="U4384" i="20"/>
  <c r="U4383" i="20"/>
  <c r="U4382" i="20"/>
  <c r="U4381" i="20"/>
  <c r="U4380" i="20"/>
  <c r="U4379" i="20"/>
  <c r="U4378" i="20"/>
  <c r="U4377" i="20"/>
  <c r="U4376" i="20"/>
  <c r="U4375" i="20"/>
  <c r="U4374" i="20"/>
  <c r="U4373" i="20"/>
  <c r="U4372" i="20"/>
  <c r="U4371" i="20"/>
  <c r="U4370" i="20"/>
  <c r="U4369" i="20"/>
  <c r="U4368" i="20"/>
  <c r="U4367" i="20"/>
  <c r="U4366" i="20"/>
  <c r="U4365" i="20"/>
  <c r="U4364" i="20"/>
  <c r="U4363" i="20"/>
  <c r="U4362" i="20"/>
  <c r="U4361" i="20"/>
  <c r="U4360" i="20"/>
  <c r="U4359" i="20"/>
  <c r="U4358" i="20"/>
  <c r="U4357" i="20"/>
  <c r="U4356" i="20"/>
  <c r="U4355" i="20"/>
  <c r="U4354" i="20"/>
  <c r="U4353" i="20"/>
  <c r="U4352" i="20"/>
  <c r="U4351" i="20"/>
  <c r="U4350" i="20"/>
  <c r="U4349" i="20"/>
  <c r="U4348" i="20"/>
  <c r="U4347" i="20"/>
  <c r="U4346" i="20"/>
  <c r="U4345" i="20"/>
  <c r="U4344" i="20"/>
  <c r="U4343" i="20"/>
  <c r="U4342" i="20"/>
  <c r="U4341" i="20"/>
  <c r="U4340" i="20"/>
  <c r="U4339" i="20"/>
  <c r="U4338" i="20"/>
  <c r="U4337" i="20"/>
  <c r="U4336" i="20"/>
  <c r="U4335" i="20"/>
  <c r="U4334" i="20"/>
  <c r="U4333" i="20"/>
  <c r="U4332" i="20"/>
  <c r="U4331" i="20"/>
  <c r="U4330" i="20"/>
  <c r="U4329" i="20"/>
  <c r="U4328" i="20"/>
  <c r="U4327" i="20"/>
  <c r="U4326" i="20"/>
  <c r="U4325" i="20"/>
  <c r="U4324" i="20"/>
  <c r="U4323" i="20"/>
  <c r="U4322" i="20"/>
  <c r="U4321" i="20"/>
  <c r="U4320" i="20"/>
  <c r="U4319" i="20"/>
  <c r="U4318" i="20"/>
  <c r="U4317" i="20"/>
  <c r="U4316" i="20"/>
  <c r="U4315" i="20"/>
  <c r="U4314" i="20"/>
  <c r="U4313" i="20"/>
  <c r="U4312" i="20"/>
  <c r="U4311" i="20"/>
  <c r="U4310" i="20"/>
  <c r="U4309" i="20"/>
  <c r="U4308" i="20"/>
  <c r="U4307" i="20"/>
  <c r="U4306" i="20"/>
  <c r="U4305" i="20"/>
  <c r="U4304" i="20"/>
  <c r="U4303" i="20"/>
  <c r="U4302" i="20"/>
  <c r="U4301" i="20"/>
  <c r="U4300" i="20"/>
  <c r="U4299" i="20"/>
  <c r="U4298" i="20"/>
  <c r="U4297" i="20"/>
  <c r="U4296" i="20"/>
  <c r="U4295" i="20"/>
  <c r="U4294" i="20"/>
  <c r="U4293" i="20"/>
  <c r="U4292" i="20"/>
  <c r="U4291" i="20"/>
  <c r="U4290" i="20"/>
  <c r="U4289" i="20"/>
  <c r="U4288" i="20"/>
  <c r="U4287" i="20"/>
  <c r="U4286" i="20"/>
  <c r="U4285" i="20"/>
  <c r="U4284" i="20"/>
  <c r="U4283" i="20"/>
  <c r="U4282" i="20"/>
  <c r="U4281" i="20"/>
  <c r="U4280" i="20"/>
  <c r="U4279" i="20"/>
  <c r="U4278" i="20"/>
  <c r="U4277" i="20"/>
  <c r="U4276" i="20"/>
  <c r="U4275" i="20"/>
  <c r="U4274" i="20"/>
  <c r="U4273" i="20"/>
  <c r="U4272" i="20"/>
  <c r="U4271" i="20"/>
  <c r="U4270" i="20"/>
  <c r="U4269" i="20"/>
  <c r="U4268" i="20"/>
  <c r="U4267" i="20"/>
  <c r="U4266" i="20"/>
  <c r="U4265" i="20"/>
  <c r="U4264" i="20"/>
  <c r="U4263" i="20"/>
  <c r="U4262" i="20"/>
  <c r="U4261" i="20"/>
  <c r="U4260" i="20"/>
  <c r="U4259" i="20"/>
  <c r="U4258" i="20"/>
  <c r="U4257" i="20"/>
  <c r="U4256" i="20"/>
  <c r="U4255" i="20"/>
  <c r="U4254" i="20"/>
  <c r="U4253" i="20"/>
  <c r="U4252" i="20"/>
  <c r="U4251" i="20"/>
  <c r="U4250" i="20"/>
  <c r="U4249" i="20"/>
  <c r="U4248" i="20"/>
  <c r="U4247" i="20"/>
  <c r="U4246" i="20"/>
  <c r="U4245" i="20"/>
  <c r="U4244" i="20"/>
  <c r="U4243" i="20"/>
  <c r="U4242" i="20"/>
  <c r="U4241" i="20"/>
  <c r="U4240" i="20"/>
  <c r="U4239" i="20"/>
  <c r="U4238" i="20"/>
  <c r="U4237" i="20"/>
  <c r="U4236" i="20"/>
  <c r="U4235" i="20"/>
  <c r="U4234" i="20"/>
  <c r="U4233" i="20"/>
  <c r="U4232" i="20"/>
  <c r="U4231" i="20"/>
  <c r="U4230" i="20"/>
  <c r="U4229" i="20"/>
  <c r="U4228" i="20"/>
  <c r="U4227" i="20"/>
  <c r="U4226" i="20"/>
  <c r="U4225" i="20"/>
  <c r="U4224" i="20"/>
  <c r="U4223" i="20"/>
  <c r="U4222" i="20"/>
  <c r="U4221" i="20"/>
  <c r="U4220" i="20"/>
  <c r="U4219" i="20"/>
  <c r="U4218" i="20"/>
  <c r="U4217" i="20"/>
  <c r="U4216" i="20"/>
  <c r="U4215" i="20"/>
  <c r="U4214" i="20"/>
  <c r="U4213" i="20"/>
  <c r="U4212" i="20"/>
  <c r="U4211" i="20"/>
  <c r="U4210" i="20"/>
  <c r="U4209" i="20"/>
  <c r="U4208" i="20"/>
  <c r="U4207" i="20"/>
  <c r="U4206" i="20"/>
  <c r="U4205" i="20"/>
  <c r="U4204" i="20"/>
  <c r="U4203" i="20"/>
  <c r="U4202" i="20"/>
  <c r="U4201" i="20"/>
  <c r="U4200" i="20"/>
  <c r="U4199" i="20"/>
  <c r="U4198" i="20"/>
  <c r="U4197" i="20"/>
  <c r="U4196" i="20"/>
  <c r="U4195" i="20"/>
  <c r="U4194" i="20"/>
  <c r="U4193" i="20"/>
  <c r="U4192" i="20"/>
  <c r="U4191" i="20"/>
  <c r="U4190" i="20"/>
  <c r="U4189" i="20"/>
  <c r="U4188" i="20"/>
  <c r="U4187" i="20"/>
  <c r="U4186" i="20"/>
  <c r="U4185" i="20"/>
  <c r="U4184" i="20"/>
  <c r="U4183" i="20"/>
  <c r="U4182" i="20"/>
  <c r="U4181" i="20"/>
  <c r="U4180" i="20"/>
  <c r="U4179" i="20"/>
  <c r="U4178" i="20"/>
  <c r="U4177" i="20"/>
  <c r="U4176" i="20"/>
  <c r="U4175" i="20"/>
  <c r="U4174" i="20"/>
  <c r="U4173" i="20"/>
  <c r="U4172" i="20"/>
  <c r="U4171" i="20"/>
  <c r="U4170" i="20"/>
  <c r="U4169" i="20"/>
  <c r="U4168" i="20"/>
  <c r="U4167" i="20"/>
  <c r="U4166" i="20"/>
  <c r="U4165" i="20"/>
  <c r="U4164" i="20"/>
  <c r="U4163" i="20"/>
  <c r="U4162" i="20"/>
  <c r="U4161" i="20"/>
  <c r="U4160" i="20"/>
  <c r="U4159" i="20"/>
  <c r="U4158" i="20"/>
  <c r="U4157" i="20"/>
  <c r="U4156" i="20"/>
  <c r="U4155" i="20"/>
  <c r="U4154" i="20"/>
  <c r="U4153" i="20"/>
  <c r="U4152" i="20"/>
  <c r="U4151" i="20"/>
  <c r="U4150" i="20"/>
  <c r="U4149" i="20"/>
  <c r="U4148" i="20"/>
  <c r="U4147" i="20"/>
  <c r="U4146" i="20"/>
  <c r="U4145" i="20"/>
  <c r="U4144" i="20"/>
  <c r="U4143" i="20"/>
  <c r="U4142" i="20"/>
  <c r="U4141" i="20"/>
  <c r="U4140" i="20"/>
  <c r="U4139" i="20"/>
  <c r="U4138" i="20"/>
  <c r="U4137" i="20"/>
  <c r="U4136" i="20"/>
  <c r="U4135" i="20"/>
  <c r="U4134" i="20"/>
  <c r="U4133" i="20"/>
  <c r="U4132" i="20"/>
  <c r="U4131" i="20"/>
  <c r="U4130" i="20"/>
  <c r="U4129" i="20"/>
  <c r="U4128" i="20"/>
  <c r="U4127" i="20"/>
  <c r="U4126" i="20"/>
  <c r="U4125" i="20"/>
  <c r="U4124" i="20"/>
  <c r="U4123" i="20"/>
  <c r="U4122" i="20"/>
  <c r="U4121" i="20"/>
  <c r="U4120" i="20"/>
  <c r="U4119" i="20"/>
  <c r="U4118" i="20"/>
  <c r="U4117" i="20"/>
  <c r="U4116" i="20"/>
  <c r="U4115" i="20"/>
  <c r="U4114" i="20"/>
  <c r="U4113" i="20"/>
  <c r="U4112" i="20"/>
  <c r="U4111" i="20"/>
  <c r="U4110" i="20"/>
  <c r="U4109" i="20"/>
  <c r="U4108" i="20"/>
  <c r="U4107" i="20"/>
  <c r="U4106" i="20"/>
  <c r="U4105" i="20"/>
  <c r="U4104" i="20"/>
  <c r="U4103" i="20"/>
  <c r="U4102" i="20"/>
  <c r="U4101" i="20"/>
  <c r="U4100" i="20"/>
  <c r="U4099" i="20"/>
  <c r="U4098" i="20"/>
  <c r="U4097" i="20"/>
  <c r="U4096" i="20"/>
  <c r="U4095" i="20"/>
  <c r="U4094" i="20"/>
  <c r="U4093" i="20"/>
  <c r="U4092" i="20"/>
  <c r="U4091" i="20"/>
  <c r="U4090" i="20"/>
  <c r="U4089" i="20"/>
  <c r="U4088" i="20"/>
  <c r="U4087" i="20"/>
  <c r="U4086" i="20"/>
  <c r="U4085" i="20"/>
  <c r="U4084" i="20"/>
  <c r="U4083" i="20"/>
  <c r="U4082" i="20"/>
  <c r="U4081" i="20"/>
  <c r="U4080" i="20"/>
  <c r="U4079" i="20"/>
  <c r="U4078" i="20"/>
  <c r="U4077" i="20"/>
  <c r="U4076" i="20"/>
  <c r="U4075" i="20"/>
  <c r="U4074" i="20"/>
  <c r="U4073" i="20"/>
  <c r="U4072" i="20"/>
  <c r="U4071" i="20"/>
  <c r="U4070" i="20"/>
  <c r="U4069" i="20"/>
  <c r="U4068" i="20"/>
  <c r="U4067" i="20"/>
  <c r="U4066" i="20"/>
  <c r="U4065" i="20"/>
  <c r="U4064" i="20"/>
  <c r="U4063" i="20"/>
  <c r="U4062" i="20"/>
  <c r="U4061" i="20"/>
  <c r="U4060" i="20"/>
  <c r="U4059" i="20"/>
  <c r="U4058" i="20"/>
  <c r="U4057" i="20"/>
  <c r="U4056" i="20"/>
  <c r="U4055" i="20"/>
  <c r="U4054" i="20"/>
  <c r="U4053" i="20"/>
  <c r="U4052" i="20"/>
  <c r="U4051" i="20"/>
  <c r="U4050" i="20"/>
  <c r="U4049" i="20"/>
  <c r="U4048" i="20"/>
  <c r="U4047" i="20"/>
  <c r="U4046" i="20"/>
  <c r="U4045" i="20"/>
  <c r="U4044" i="20"/>
  <c r="U4043" i="20"/>
  <c r="U4042" i="20"/>
  <c r="U4041" i="20"/>
  <c r="U4040" i="20"/>
  <c r="U4039" i="20"/>
  <c r="U4038" i="20"/>
  <c r="U4037" i="20"/>
  <c r="U4036" i="20"/>
  <c r="U4035" i="20"/>
  <c r="U4034" i="20"/>
  <c r="U4033" i="20"/>
  <c r="U4032" i="20"/>
  <c r="U4031" i="20"/>
  <c r="U4030" i="20"/>
  <c r="U4029" i="20"/>
  <c r="U4028" i="20"/>
  <c r="U4027" i="20"/>
  <c r="U4026" i="20"/>
  <c r="U4025" i="20"/>
  <c r="U4024" i="20"/>
  <c r="U4023" i="20"/>
  <c r="U4022" i="20"/>
  <c r="U4021" i="20"/>
  <c r="U4020" i="20"/>
  <c r="U4019" i="20"/>
  <c r="U4018" i="20"/>
  <c r="U4017" i="20"/>
  <c r="U4016" i="20"/>
  <c r="U4015" i="20"/>
  <c r="U4014" i="20"/>
  <c r="U4013" i="20"/>
  <c r="U4012" i="20"/>
  <c r="U4011" i="20"/>
  <c r="U4010" i="20"/>
  <c r="U4009" i="20"/>
  <c r="U4008" i="20"/>
  <c r="U4007" i="20"/>
  <c r="U4006" i="20"/>
  <c r="U4005" i="20"/>
  <c r="U4004" i="20"/>
  <c r="U4003" i="20"/>
  <c r="U4002" i="20"/>
  <c r="U4001" i="20"/>
  <c r="U4000" i="20"/>
  <c r="U3999" i="20"/>
  <c r="U3998" i="20"/>
  <c r="U3997" i="20"/>
  <c r="U3996" i="20"/>
  <c r="U3995" i="20"/>
  <c r="U3994" i="20"/>
  <c r="U3993" i="20"/>
  <c r="U3992" i="20"/>
  <c r="U3991" i="20"/>
  <c r="U3990" i="20"/>
  <c r="U3989" i="20"/>
  <c r="U3988" i="20"/>
  <c r="U3987" i="20"/>
  <c r="U3986" i="20"/>
  <c r="U3985" i="20"/>
  <c r="U3984" i="20"/>
  <c r="U3983" i="20"/>
  <c r="U3982" i="20"/>
  <c r="U3981" i="20"/>
  <c r="U3980" i="20"/>
  <c r="U3979" i="20"/>
  <c r="U3978" i="20"/>
  <c r="U3977" i="20"/>
  <c r="U3976" i="20"/>
  <c r="U3975" i="20"/>
  <c r="U3974" i="20"/>
  <c r="U3973" i="20"/>
  <c r="U3972" i="20"/>
  <c r="U3971" i="20"/>
  <c r="U3970" i="20"/>
  <c r="U3969" i="20"/>
  <c r="U3968" i="20"/>
  <c r="U3967" i="20"/>
  <c r="U3966" i="20"/>
  <c r="U3965" i="20"/>
  <c r="U3964" i="20"/>
  <c r="U3963" i="20"/>
  <c r="U3962" i="20"/>
  <c r="U3961" i="20"/>
  <c r="U3960" i="20"/>
  <c r="U3959" i="20"/>
  <c r="U3958" i="20"/>
  <c r="U3957" i="20"/>
  <c r="U3956" i="20"/>
  <c r="U3955" i="20"/>
  <c r="U3954" i="20"/>
  <c r="U3953" i="20"/>
  <c r="U3952" i="20"/>
  <c r="U3951" i="20"/>
  <c r="U3950" i="20"/>
  <c r="U3949" i="20"/>
  <c r="U3948" i="20"/>
  <c r="U3947" i="20"/>
  <c r="U3946" i="20"/>
  <c r="U3945" i="20"/>
  <c r="U3944" i="20"/>
  <c r="U3943" i="20"/>
  <c r="U3942" i="20"/>
  <c r="U3941" i="20"/>
  <c r="U3940" i="20"/>
  <c r="U3939" i="20"/>
  <c r="U3938" i="20"/>
  <c r="U3937" i="20"/>
  <c r="U3936" i="20"/>
  <c r="U3935" i="20"/>
  <c r="U3934" i="20"/>
  <c r="U3933" i="20"/>
  <c r="U3932" i="20"/>
  <c r="U3931" i="20"/>
  <c r="U3930" i="20"/>
  <c r="U3929" i="20"/>
  <c r="U3928" i="20"/>
  <c r="U3927" i="20"/>
  <c r="U3926" i="20"/>
  <c r="U3925" i="20"/>
  <c r="U3924" i="20"/>
  <c r="U3923" i="20"/>
  <c r="U3922" i="20"/>
  <c r="U3921" i="20"/>
  <c r="U3920" i="20"/>
  <c r="U3919" i="20"/>
  <c r="U3918" i="20"/>
  <c r="U3917" i="20"/>
  <c r="U3916" i="20"/>
  <c r="U3915" i="20"/>
  <c r="U3914" i="20"/>
  <c r="U3913" i="20"/>
  <c r="U3912" i="20"/>
  <c r="U3911" i="20"/>
  <c r="U3910" i="20"/>
  <c r="U3909" i="20"/>
  <c r="U3908" i="20"/>
  <c r="U3907" i="20"/>
  <c r="U3906" i="20"/>
  <c r="U3905" i="20"/>
  <c r="U3904" i="20"/>
  <c r="U3903" i="20"/>
  <c r="U3902" i="20"/>
  <c r="U3901" i="20"/>
  <c r="U3900" i="20"/>
  <c r="U3899" i="20"/>
  <c r="U3898" i="20"/>
  <c r="U3897" i="20"/>
  <c r="U3896" i="20"/>
  <c r="U3895" i="20"/>
  <c r="U3894" i="20"/>
  <c r="U3893" i="20"/>
  <c r="U3892" i="20"/>
  <c r="U3891" i="20"/>
  <c r="U3890" i="20"/>
  <c r="U3889" i="20"/>
  <c r="U3888" i="20"/>
  <c r="U3887" i="20"/>
  <c r="U3886" i="20"/>
  <c r="U3885" i="20"/>
  <c r="U3884" i="20"/>
  <c r="U3883" i="20"/>
  <c r="U3882" i="20"/>
  <c r="U3881" i="20"/>
  <c r="U3880" i="20"/>
  <c r="U3879" i="20"/>
  <c r="U3878" i="20"/>
  <c r="U3877" i="20"/>
  <c r="U3876" i="20"/>
  <c r="U3875" i="20"/>
  <c r="U3874" i="20"/>
  <c r="U3873" i="20"/>
  <c r="U3872" i="20"/>
  <c r="U3871" i="20"/>
  <c r="U3870" i="20"/>
  <c r="U3869" i="20"/>
  <c r="U3868" i="20"/>
  <c r="U3867" i="20"/>
  <c r="U3866" i="20"/>
  <c r="U3865" i="20"/>
  <c r="U3864" i="20"/>
  <c r="U3863" i="20"/>
  <c r="U3862" i="20"/>
  <c r="U3861" i="20"/>
  <c r="U3860" i="20"/>
  <c r="U3859" i="20"/>
  <c r="U3858" i="20"/>
  <c r="U3857" i="20"/>
  <c r="U3856" i="20"/>
  <c r="U3855" i="20"/>
  <c r="U3854" i="20"/>
  <c r="U3853" i="20"/>
  <c r="U3852" i="20"/>
  <c r="U3851" i="20"/>
  <c r="U3850" i="20"/>
  <c r="U3849" i="20"/>
  <c r="U3848" i="20"/>
  <c r="U3847" i="20"/>
  <c r="U3846" i="20"/>
  <c r="U3845" i="20"/>
  <c r="U3844" i="20"/>
  <c r="U3843" i="20"/>
  <c r="U3842" i="20"/>
  <c r="U3841" i="20"/>
  <c r="U3840" i="20"/>
  <c r="U3839" i="20"/>
  <c r="U3838" i="20"/>
  <c r="U3837" i="20"/>
  <c r="U3836" i="20"/>
  <c r="U3835" i="20"/>
  <c r="U3834" i="20"/>
  <c r="U3833" i="20"/>
  <c r="U3832" i="20"/>
  <c r="U3831" i="20"/>
  <c r="U3830" i="20"/>
  <c r="U3829" i="20"/>
  <c r="U3828" i="20"/>
  <c r="U3827" i="20"/>
  <c r="U3826" i="20"/>
  <c r="U3825" i="20"/>
  <c r="U3824" i="20"/>
  <c r="U3823" i="20"/>
  <c r="U3822" i="20"/>
  <c r="U3821" i="20"/>
  <c r="U3820" i="20"/>
  <c r="U3819" i="20"/>
  <c r="U3818" i="20"/>
  <c r="U3817" i="20"/>
  <c r="U3816" i="20"/>
  <c r="U3815" i="20"/>
  <c r="U3814" i="20"/>
  <c r="U3813" i="20"/>
  <c r="U3812" i="20"/>
  <c r="U3811" i="20"/>
  <c r="U3810" i="20"/>
  <c r="U3809" i="20"/>
  <c r="U3808" i="20"/>
  <c r="U3807" i="20"/>
  <c r="U3806" i="20"/>
  <c r="U3805" i="20"/>
  <c r="U3804" i="20"/>
  <c r="U3803" i="20"/>
  <c r="U3802" i="20"/>
  <c r="U3801" i="20"/>
  <c r="U3800" i="20"/>
  <c r="U3799" i="20"/>
  <c r="U3798" i="20"/>
  <c r="U3797" i="20"/>
  <c r="U3796" i="20"/>
  <c r="U3795" i="20"/>
  <c r="U3794" i="20"/>
  <c r="U3793" i="20"/>
  <c r="U3792" i="20"/>
  <c r="U3791" i="20"/>
  <c r="U3790" i="20"/>
  <c r="U3789" i="20"/>
  <c r="U3788" i="20"/>
  <c r="U3787" i="20"/>
  <c r="U3786" i="20"/>
  <c r="U3785" i="20"/>
  <c r="U3784" i="20"/>
  <c r="U3783" i="20"/>
  <c r="U3782" i="20"/>
  <c r="U3781" i="20"/>
  <c r="U3780" i="20"/>
  <c r="U3779" i="20"/>
  <c r="U3778" i="20"/>
  <c r="U3777" i="20"/>
  <c r="U3776" i="20"/>
  <c r="U3775" i="20"/>
  <c r="U3774" i="20"/>
  <c r="U3773" i="20"/>
  <c r="U3772" i="20"/>
  <c r="U3771" i="20"/>
  <c r="U3770" i="20"/>
  <c r="U3769" i="20"/>
  <c r="U3768" i="20"/>
  <c r="U3767" i="20"/>
  <c r="U3766" i="20"/>
  <c r="U3765" i="20"/>
  <c r="U3764" i="20"/>
  <c r="U3763" i="20"/>
  <c r="U3762" i="20"/>
  <c r="U3761" i="20"/>
  <c r="U3760" i="20"/>
  <c r="U3759" i="20"/>
  <c r="U3758" i="20"/>
  <c r="U3757" i="20"/>
  <c r="U3756" i="20"/>
  <c r="U3755" i="20"/>
  <c r="U3754" i="20"/>
  <c r="U3753" i="20"/>
  <c r="U3752" i="20"/>
  <c r="U3751" i="20"/>
  <c r="U3750" i="20"/>
  <c r="U3749" i="20"/>
  <c r="U3748" i="20"/>
  <c r="U3747" i="20"/>
  <c r="U3746" i="20"/>
  <c r="U3745" i="20"/>
  <c r="U3744" i="20"/>
  <c r="U3743" i="20"/>
  <c r="U3742" i="20"/>
  <c r="U3741" i="20"/>
  <c r="U3740" i="20"/>
  <c r="U3739" i="20"/>
  <c r="U3738" i="20"/>
  <c r="U3737" i="20"/>
  <c r="U3736" i="20"/>
  <c r="U3735" i="20"/>
  <c r="U3734" i="20"/>
  <c r="U3733" i="20"/>
  <c r="U3732" i="20"/>
  <c r="U3731" i="20"/>
  <c r="U3730" i="20"/>
  <c r="U3729" i="20"/>
  <c r="U3728" i="20"/>
  <c r="U3727" i="20"/>
  <c r="U3726" i="20"/>
  <c r="U3725" i="20"/>
  <c r="U3724" i="20"/>
  <c r="U3723" i="20"/>
  <c r="U3722" i="20"/>
  <c r="U3721" i="20"/>
  <c r="U3720" i="20"/>
  <c r="U3719" i="20"/>
  <c r="U3718" i="20"/>
  <c r="U3717" i="20"/>
  <c r="U3716" i="20"/>
  <c r="U3715" i="20"/>
  <c r="U3714" i="20"/>
  <c r="U3713" i="20"/>
  <c r="U3712" i="20"/>
  <c r="U3711" i="20"/>
  <c r="U3710" i="20"/>
  <c r="U3709" i="20"/>
  <c r="U3708" i="20"/>
  <c r="U3707" i="20"/>
  <c r="U3706" i="20"/>
  <c r="U3705" i="20"/>
  <c r="U3704" i="20"/>
  <c r="U3703" i="20"/>
  <c r="U3702" i="20"/>
  <c r="U3701" i="20"/>
  <c r="U3700" i="20"/>
  <c r="U3699" i="20"/>
  <c r="U3698" i="20"/>
  <c r="U3697" i="20"/>
  <c r="U3696" i="20"/>
  <c r="U3695" i="20"/>
  <c r="U3694" i="20"/>
  <c r="U3693" i="20"/>
  <c r="U3692" i="20"/>
  <c r="U3691" i="20"/>
  <c r="U3690" i="20"/>
  <c r="U3689" i="20"/>
  <c r="U3688" i="20"/>
  <c r="U3687" i="20"/>
  <c r="U3686" i="20"/>
  <c r="U3685" i="20"/>
  <c r="U3684" i="20"/>
  <c r="U3683" i="20"/>
  <c r="U3682" i="20"/>
  <c r="U3681" i="20"/>
  <c r="U3680" i="20"/>
  <c r="U3679" i="20"/>
  <c r="U3678" i="20"/>
  <c r="U3677" i="20"/>
  <c r="U3676" i="20"/>
  <c r="U3675" i="20"/>
  <c r="U3674" i="20"/>
  <c r="U3673" i="20"/>
  <c r="U3672" i="20"/>
  <c r="U3671" i="20"/>
  <c r="U3670" i="20"/>
  <c r="U3669" i="20"/>
  <c r="U3668" i="20"/>
  <c r="U3667" i="20"/>
  <c r="U3666" i="20"/>
  <c r="U3665" i="20"/>
  <c r="U3664" i="20"/>
  <c r="U3663" i="20"/>
  <c r="U3662" i="20"/>
  <c r="U3661" i="20"/>
  <c r="U3660" i="20"/>
  <c r="U3659" i="20"/>
  <c r="U3658" i="20"/>
  <c r="U3657" i="20"/>
  <c r="U3656" i="20"/>
  <c r="U3655" i="20"/>
  <c r="U3654" i="20"/>
  <c r="U3653" i="20"/>
  <c r="U3652" i="20"/>
  <c r="U3651" i="20"/>
  <c r="U3650" i="20"/>
  <c r="U3649" i="20"/>
  <c r="U3648" i="20"/>
  <c r="U3647" i="20"/>
  <c r="U3646" i="20"/>
  <c r="U3645" i="20"/>
  <c r="U3644" i="20"/>
  <c r="U3643" i="20"/>
  <c r="U3642" i="20"/>
  <c r="U3641" i="20"/>
  <c r="U3640" i="20"/>
  <c r="U3639" i="20"/>
  <c r="U3638" i="20"/>
  <c r="U3637" i="20"/>
  <c r="U3636" i="20"/>
  <c r="U3635" i="20"/>
  <c r="U3634" i="20"/>
  <c r="U3633" i="20"/>
  <c r="U3632" i="20"/>
  <c r="U3631" i="20"/>
  <c r="U3630" i="20"/>
  <c r="U3629" i="20"/>
  <c r="U3628" i="20"/>
  <c r="U3627" i="20"/>
  <c r="U3626" i="20"/>
  <c r="U3625" i="20"/>
  <c r="U3624" i="20"/>
  <c r="U3623" i="20"/>
  <c r="U3622" i="20"/>
  <c r="U3621" i="20"/>
  <c r="U3620" i="20"/>
  <c r="U3619" i="20"/>
  <c r="U3618" i="20"/>
  <c r="U3617" i="20"/>
  <c r="U3616" i="20"/>
  <c r="U3615" i="20"/>
  <c r="U3614" i="20"/>
  <c r="U3613" i="20"/>
  <c r="U3612" i="20"/>
  <c r="U3611" i="20"/>
  <c r="U3610" i="20"/>
  <c r="U3609" i="20"/>
  <c r="U3608" i="20"/>
  <c r="U3607" i="20"/>
  <c r="U3606" i="20"/>
  <c r="U3605" i="20"/>
  <c r="U3604" i="20"/>
  <c r="U3603" i="20"/>
  <c r="U3602" i="20"/>
  <c r="U3601" i="20"/>
  <c r="U3600" i="20"/>
  <c r="U3599" i="20"/>
  <c r="U3598" i="20"/>
  <c r="U3597" i="20"/>
  <c r="U3596" i="20"/>
  <c r="U3595" i="20"/>
  <c r="U3594" i="20"/>
  <c r="U3593" i="20"/>
  <c r="U3592" i="20"/>
  <c r="U3591" i="20"/>
  <c r="U3590" i="20"/>
  <c r="U3589" i="20"/>
  <c r="U3588" i="20"/>
  <c r="U3587" i="20"/>
  <c r="U3586" i="20"/>
  <c r="U3585" i="20"/>
  <c r="U3584" i="20"/>
  <c r="U3583" i="20"/>
  <c r="U3582" i="20"/>
  <c r="U3581" i="20"/>
  <c r="U3580" i="20"/>
  <c r="U3579" i="20"/>
  <c r="U3578" i="20"/>
  <c r="U3577" i="20"/>
  <c r="U3576" i="20"/>
  <c r="U3575" i="20"/>
  <c r="U3574" i="20"/>
  <c r="U3573" i="20"/>
  <c r="U3572" i="20"/>
  <c r="U3571" i="20"/>
  <c r="U3570" i="20"/>
  <c r="U3569" i="20"/>
  <c r="U3568" i="20"/>
  <c r="U3567" i="20"/>
  <c r="U3566" i="20"/>
  <c r="U3565" i="20"/>
  <c r="U3564" i="20"/>
  <c r="U3563" i="20"/>
  <c r="U3562" i="20"/>
  <c r="U3561" i="20"/>
  <c r="U3560" i="20"/>
  <c r="U3559" i="20"/>
  <c r="U3558" i="20"/>
  <c r="U3557" i="20"/>
  <c r="U3556" i="20"/>
  <c r="U3555" i="20"/>
  <c r="U3554" i="20"/>
  <c r="U3553" i="20"/>
  <c r="U3552" i="20"/>
  <c r="U3551" i="20"/>
  <c r="U3550" i="20"/>
  <c r="U3549" i="20"/>
  <c r="U3548" i="20"/>
  <c r="U3547" i="20"/>
  <c r="U3546" i="20"/>
  <c r="U3545" i="20"/>
  <c r="U3544" i="20"/>
  <c r="U3543" i="20"/>
  <c r="U3542" i="20"/>
  <c r="U3541" i="20"/>
  <c r="U3540" i="20"/>
  <c r="U3539" i="20"/>
  <c r="U3538" i="20"/>
  <c r="U3537" i="20"/>
  <c r="U3536" i="20"/>
  <c r="U3535" i="20"/>
  <c r="U3534" i="20"/>
  <c r="U3533" i="20"/>
  <c r="U3532" i="20"/>
  <c r="U3531" i="20"/>
  <c r="U3530" i="20"/>
  <c r="U3529" i="20"/>
  <c r="U3528" i="20"/>
  <c r="U3527" i="20"/>
  <c r="U3526" i="20"/>
  <c r="U3525" i="20"/>
  <c r="U3524" i="20"/>
  <c r="U3523" i="20"/>
  <c r="U3522" i="20"/>
  <c r="U3521" i="20"/>
  <c r="U3520" i="20"/>
  <c r="U3519" i="20"/>
  <c r="U3518" i="20"/>
  <c r="U3517" i="20"/>
  <c r="U3516" i="20"/>
  <c r="U3515" i="20"/>
  <c r="U3514" i="20"/>
  <c r="U3513" i="20"/>
  <c r="U3512" i="20"/>
  <c r="U3511" i="20"/>
  <c r="U3510" i="20"/>
  <c r="U3509" i="20"/>
  <c r="U3508" i="20"/>
  <c r="U3507" i="20"/>
  <c r="U3506" i="20"/>
  <c r="U3505" i="20"/>
  <c r="U3504" i="20"/>
  <c r="U3503" i="20"/>
  <c r="U3502" i="20"/>
  <c r="U3501" i="20"/>
  <c r="U3500" i="20"/>
  <c r="U3499" i="20"/>
  <c r="U3498" i="20"/>
  <c r="U3497" i="20"/>
  <c r="U3496" i="20"/>
  <c r="U3495" i="20"/>
  <c r="U3494" i="20"/>
  <c r="U3493" i="20"/>
  <c r="U3492" i="20"/>
  <c r="U3491" i="20"/>
  <c r="U3490" i="20"/>
  <c r="U3489" i="20"/>
  <c r="U3488" i="20"/>
  <c r="U3487" i="20"/>
  <c r="U3486" i="20"/>
  <c r="U3485" i="20"/>
  <c r="U3484" i="20"/>
  <c r="U3483" i="20"/>
  <c r="U3482" i="20"/>
  <c r="U3481" i="20"/>
  <c r="U3480" i="20"/>
  <c r="U3479" i="20"/>
  <c r="U3478" i="20"/>
  <c r="U3477" i="20"/>
  <c r="U3476" i="20"/>
  <c r="U3475" i="20"/>
  <c r="U3474" i="20"/>
  <c r="U3473" i="20"/>
  <c r="U3472" i="20"/>
  <c r="U3471" i="20"/>
  <c r="U3470" i="20"/>
  <c r="U3469" i="20"/>
  <c r="U3468" i="20"/>
  <c r="U3467" i="20"/>
  <c r="U3466" i="20"/>
  <c r="U3465" i="20"/>
  <c r="U3464" i="20"/>
  <c r="U3463" i="20"/>
  <c r="U3462" i="20"/>
  <c r="U3461" i="20"/>
  <c r="U3460" i="20"/>
  <c r="U3459" i="20"/>
  <c r="U3458" i="20"/>
  <c r="U3457" i="20"/>
  <c r="U3456" i="20"/>
  <c r="U3455" i="20"/>
  <c r="U3454" i="20"/>
  <c r="U3453" i="20"/>
  <c r="U3452" i="20"/>
  <c r="U3451" i="20"/>
  <c r="U3450" i="20"/>
  <c r="U3449" i="20"/>
  <c r="U3448" i="20"/>
  <c r="U3447" i="20"/>
  <c r="U3446" i="20"/>
  <c r="U3445" i="20"/>
  <c r="U3444" i="20"/>
  <c r="U3443" i="20"/>
  <c r="U3442" i="20"/>
  <c r="U3441" i="20"/>
  <c r="U3440" i="20"/>
  <c r="U3439" i="20"/>
  <c r="U3438" i="20"/>
  <c r="U3437" i="20"/>
  <c r="U3436" i="20"/>
  <c r="U3435" i="20"/>
  <c r="U3434" i="20"/>
  <c r="U3433" i="20"/>
  <c r="U3432" i="20"/>
  <c r="U3431" i="20"/>
  <c r="U3430" i="20"/>
  <c r="U3429" i="20"/>
  <c r="U3428" i="20"/>
  <c r="U3427" i="20"/>
  <c r="U3426" i="20"/>
  <c r="U3425" i="20"/>
  <c r="U3424" i="20"/>
  <c r="U3423" i="20"/>
  <c r="U3422" i="20"/>
  <c r="U3421" i="20"/>
  <c r="U3420" i="20"/>
  <c r="U3419" i="20"/>
  <c r="U3418" i="20"/>
  <c r="U3417" i="20"/>
  <c r="U3416" i="20"/>
  <c r="U3415" i="20"/>
  <c r="U3414" i="20"/>
  <c r="U3413" i="20"/>
  <c r="U3412" i="20"/>
  <c r="U3411" i="20"/>
  <c r="U3410" i="20"/>
  <c r="U3409" i="20"/>
  <c r="U3408" i="20"/>
  <c r="U3407" i="20"/>
  <c r="U3406" i="20"/>
  <c r="U3405" i="20"/>
  <c r="U3404" i="20"/>
  <c r="U3403" i="20"/>
  <c r="U3402" i="20"/>
  <c r="U3401" i="20"/>
  <c r="U3400" i="20"/>
  <c r="U3399" i="20"/>
  <c r="U3398" i="20"/>
  <c r="U3397" i="20"/>
  <c r="U3396" i="20"/>
  <c r="U3395" i="20"/>
  <c r="U3394" i="20"/>
  <c r="U3393" i="20"/>
  <c r="U3392" i="20"/>
  <c r="U3391" i="20"/>
  <c r="U3390" i="20"/>
  <c r="U3389" i="20"/>
  <c r="U3388" i="20"/>
  <c r="U3387" i="20"/>
  <c r="U3386" i="20"/>
  <c r="U3385" i="20"/>
  <c r="U3384" i="20"/>
  <c r="U3383" i="20"/>
  <c r="U3382" i="20"/>
  <c r="U3381" i="20"/>
  <c r="U3380" i="20"/>
  <c r="U3379" i="20"/>
  <c r="U3378" i="20"/>
  <c r="U3377" i="20"/>
  <c r="U3376" i="20"/>
  <c r="U3375" i="20"/>
  <c r="U3374" i="20"/>
  <c r="U3373" i="20"/>
  <c r="U3372" i="20"/>
  <c r="U3371" i="20"/>
  <c r="U3370" i="20"/>
  <c r="U3369" i="20"/>
  <c r="U3368" i="20"/>
  <c r="U3367" i="20"/>
  <c r="U3366" i="20"/>
  <c r="U3365" i="20"/>
  <c r="U3364" i="20"/>
  <c r="U3363" i="20"/>
  <c r="U3362" i="20"/>
  <c r="U3361" i="20"/>
  <c r="U3360" i="20"/>
  <c r="U3359" i="20"/>
  <c r="U3358" i="20"/>
  <c r="U3357" i="20"/>
  <c r="U3356" i="20"/>
  <c r="U3355" i="20"/>
  <c r="U3354" i="20"/>
  <c r="U3353" i="20"/>
  <c r="U3352" i="20"/>
  <c r="U3351" i="20"/>
  <c r="U3350" i="20"/>
  <c r="U3349" i="20"/>
  <c r="U3348" i="20"/>
  <c r="U3347" i="20"/>
  <c r="U3346" i="20"/>
  <c r="U3345" i="20"/>
  <c r="U3344" i="20"/>
  <c r="U3343" i="20"/>
  <c r="U3342" i="20"/>
  <c r="U3341" i="20"/>
  <c r="U3340" i="20"/>
  <c r="U3339" i="20"/>
  <c r="U3338" i="20"/>
  <c r="U3337" i="20"/>
  <c r="U3336" i="20"/>
  <c r="U3335" i="20"/>
  <c r="U3334" i="20"/>
  <c r="U3333" i="20"/>
  <c r="U3332" i="20"/>
  <c r="U3331" i="20"/>
  <c r="U3330" i="20"/>
  <c r="U3329" i="20"/>
  <c r="U3328" i="20"/>
  <c r="U3327" i="20"/>
  <c r="U3326" i="20"/>
  <c r="U3325" i="20"/>
  <c r="U3324" i="20"/>
  <c r="U3323" i="20"/>
  <c r="U3322" i="20"/>
  <c r="U3321" i="20"/>
  <c r="U3320" i="20"/>
  <c r="U3319" i="20"/>
  <c r="U3318" i="20"/>
  <c r="U3317" i="20"/>
  <c r="U3316" i="20"/>
  <c r="U3315" i="20"/>
  <c r="U3314" i="20"/>
  <c r="U3313" i="20"/>
  <c r="U3312" i="20"/>
  <c r="U3311" i="20"/>
  <c r="U3310" i="20"/>
  <c r="U3309" i="20"/>
  <c r="U3308" i="20"/>
  <c r="U3307" i="20"/>
  <c r="U3306" i="20"/>
  <c r="U3305" i="20"/>
  <c r="U3304" i="20"/>
  <c r="U3303" i="20"/>
  <c r="U3302" i="20"/>
  <c r="U3301" i="20"/>
  <c r="U3300" i="20"/>
  <c r="U3299" i="20"/>
  <c r="U3298" i="20"/>
  <c r="U3297" i="20"/>
  <c r="U3296" i="20"/>
  <c r="U3295" i="20"/>
  <c r="U3294" i="20"/>
  <c r="U3293" i="20"/>
  <c r="U3292" i="20"/>
  <c r="U3291" i="20"/>
  <c r="U3290" i="20"/>
  <c r="U3289" i="20"/>
  <c r="U3288" i="20"/>
  <c r="U3287" i="20"/>
  <c r="U3286" i="20"/>
  <c r="U3285" i="20"/>
  <c r="U3284" i="20"/>
  <c r="U3283" i="20"/>
  <c r="U3282" i="20"/>
  <c r="U3281" i="20"/>
  <c r="U3280" i="20"/>
  <c r="U3279" i="20"/>
  <c r="U3278" i="20"/>
  <c r="U3277" i="20"/>
  <c r="U3276" i="20"/>
  <c r="U3275" i="20"/>
  <c r="U3274" i="20"/>
  <c r="U3273" i="20"/>
  <c r="U3272" i="20"/>
  <c r="U3271" i="20"/>
  <c r="U3270" i="20"/>
  <c r="U3269" i="20"/>
  <c r="U3268" i="20"/>
  <c r="U3267" i="20"/>
  <c r="U3266" i="20"/>
  <c r="U3265" i="20"/>
  <c r="U3264" i="20"/>
  <c r="U3263" i="20"/>
  <c r="U3262" i="20"/>
  <c r="U3261" i="20"/>
  <c r="U3260" i="20"/>
  <c r="U3259" i="20"/>
  <c r="U3258" i="20"/>
  <c r="U3257" i="20"/>
  <c r="U3256" i="20"/>
  <c r="U3255" i="20"/>
  <c r="U3254" i="20"/>
  <c r="U3253" i="20"/>
  <c r="U3252" i="20"/>
  <c r="U3251" i="20"/>
  <c r="U3250" i="20"/>
  <c r="U3249" i="20"/>
  <c r="U3248" i="20"/>
  <c r="U3247" i="20"/>
  <c r="U3246" i="20"/>
  <c r="U3245" i="20"/>
  <c r="U3244" i="20"/>
  <c r="U3243" i="20"/>
  <c r="U3242" i="20"/>
  <c r="U3241" i="20"/>
  <c r="U3240" i="20"/>
  <c r="U3239" i="20"/>
  <c r="U3238" i="20"/>
  <c r="U3237" i="20"/>
  <c r="U3236" i="20"/>
  <c r="U3235" i="20"/>
  <c r="U3234" i="20"/>
  <c r="U3233" i="20"/>
  <c r="U3232" i="20"/>
  <c r="U3231" i="20"/>
  <c r="U3230" i="20"/>
  <c r="U3229" i="20"/>
  <c r="U3228" i="20"/>
  <c r="U3227" i="20"/>
  <c r="U3226" i="20"/>
  <c r="U3225" i="20"/>
  <c r="U3224" i="20"/>
  <c r="U3223" i="20"/>
  <c r="U3222" i="20"/>
  <c r="U3221" i="20"/>
  <c r="U3220" i="20"/>
  <c r="U3219" i="20"/>
  <c r="U3218" i="20"/>
  <c r="U3217" i="20"/>
  <c r="U3216" i="20"/>
  <c r="U3215" i="20"/>
  <c r="U3214" i="20"/>
  <c r="U3213" i="20"/>
  <c r="U3212" i="20"/>
  <c r="U3211" i="20"/>
  <c r="U3210" i="20"/>
  <c r="U3209" i="20"/>
  <c r="U3208" i="20"/>
  <c r="U3207" i="20"/>
  <c r="U3206" i="20"/>
  <c r="U3205" i="20"/>
  <c r="U3204" i="20"/>
  <c r="U3203" i="20"/>
  <c r="U3202" i="20"/>
  <c r="U3201" i="20"/>
  <c r="U3200" i="20"/>
  <c r="U3199" i="20"/>
  <c r="U3198" i="20"/>
  <c r="U3197" i="20"/>
  <c r="U3196" i="20"/>
  <c r="U3195" i="20"/>
  <c r="U3194" i="20"/>
  <c r="U3193" i="20"/>
  <c r="U3192" i="20"/>
  <c r="U3191" i="20"/>
  <c r="U3190" i="20"/>
  <c r="U3189" i="20"/>
  <c r="U3188" i="20"/>
  <c r="U3187" i="20"/>
  <c r="U3186" i="20"/>
  <c r="U3185" i="20"/>
  <c r="U3184" i="20"/>
  <c r="U3183" i="20"/>
  <c r="U3182" i="20"/>
  <c r="U3181" i="20"/>
  <c r="U3180" i="20"/>
  <c r="U3179" i="20"/>
  <c r="U3178" i="20"/>
  <c r="U3177" i="20"/>
  <c r="U3176" i="20"/>
  <c r="U3175" i="20"/>
  <c r="U3174" i="20"/>
  <c r="U3173" i="20"/>
  <c r="U3172" i="20"/>
  <c r="U3171" i="20"/>
  <c r="U3170" i="20"/>
  <c r="U3169" i="20"/>
  <c r="U3168" i="20"/>
  <c r="U3167" i="20"/>
  <c r="U3166" i="20"/>
  <c r="U3165" i="20"/>
  <c r="U3164" i="20"/>
  <c r="U3163" i="20"/>
  <c r="U3162" i="20"/>
  <c r="U3161" i="20"/>
  <c r="U3160" i="20"/>
  <c r="U3159" i="20"/>
  <c r="U3158" i="20"/>
  <c r="U3157" i="20"/>
  <c r="U3156" i="20"/>
  <c r="U3155" i="20"/>
  <c r="U3154" i="20"/>
  <c r="U3153" i="20"/>
  <c r="U3152" i="20"/>
  <c r="U3151" i="20"/>
  <c r="U3150" i="20"/>
  <c r="U3149" i="20"/>
  <c r="U3148" i="20"/>
  <c r="U3147" i="20"/>
  <c r="U3146" i="20"/>
  <c r="U3145" i="20"/>
  <c r="U3144" i="20"/>
  <c r="U3143" i="20"/>
  <c r="U3142" i="20"/>
  <c r="U3141" i="20"/>
  <c r="U3140" i="20"/>
  <c r="U3139" i="20"/>
  <c r="U3138" i="20"/>
  <c r="U3137" i="20"/>
  <c r="U3136" i="20"/>
  <c r="U3135" i="20"/>
  <c r="U3134" i="20"/>
  <c r="U3133" i="20"/>
  <c r="U3132" i="20"/>
  <c r="U3131" i="20"/>
  <c r="U3130" i="20"/>
  <c r="U3129" i="20"/>
  <c r="U3128" i="20"/>
  <c r="U3127" i="20"/>
  <c r="U3126" i="20"/>
  <c r="U3125" i="20"/>
  <c r="U3124" i="20"/>
  <c r="U3123" i="20"/>
  <c r="U3122" i="20"/>
  <c r="U3121" i="20"/>
  <c r="U3120" i="20"/>
  <c r="U3119" i="20"/>
  <c r="U3118" i="20"/>
  <c r="U3117" i="20"/>
  <c r="U3116" i="20"/>
  <c r="U3115" i="20"/>
  <c r="U3114" i="20"/>
  <c r="U3113" i="20"/>
  <c r="U3112" i="20"/>
  <c r="U3111" i="20"/>
  <c r="U3110" i="20"/>
  <c r="U3109" i="20"/>
  <c r="U3108" i="20"/>
  <c r="U3107" i="20"/>
  <c r="U3106" i="20"/>
  <c r="U3105" i="20"/>
  <c r="U3104" i="20"/>
  <c r="U3103" i="20"/>
  <c r="U3102" i="20"/>
  <c r="U3101" i="20"/>
  <c r="U3100" i="20"/>
  <c r="U3099" i="20"/>
  <c r="U3098" i="20"/>
  <c r="U3097" i="20"/>
  <c r="U3096" i="20"/>
  <c r="U3095" i="20"/>
  <c r="U3094" i="20"/>
  <c r="U3093" i="20"/>
  <c r="U3092" i="20"/>
  <c r="U3091" i="20"/>
  <c r="U3090" i="20"/>
  <c r="U3089" i="20"/>
  <c r="U3088" i="20"/>
  <c r="U3087" i="20"/>
  <c r="U3086" i="20"/>
  <c r="U3085" i="20"/>
  <c r="U3084" i="20"/>
  <c r="U3083" i="20"/>
  <c r="U3082" i="20"/>
  <c r="U3081" i="20"/>
  <c r="U3080" i="20"/>
  <c r="U3079" i="20"/>
  <c r="U3078" i="20"/>
  <c r="U3077" i="20"/>
  <c r="U3076" i="20"/>
  <c r="U3075" i="20"/>
  <c r="U3074" i="20"/>
  <c r="U3073" i="20"/>
  <c r="U3072" i="20"/>
  <c r="U3071" i="20"/>
  <c r="U3070" i="20"/>
  <c r="U3069" i="20"/>
  <c r="U3068" i="20"/>
  <c r="U3067" i="20"/>
  <c r="U3066" i="20"/>
  <c r="U3065" i="20"/>
  <c r="U3064" i="20"/>
  <c r="U3063" i="20"/>
  <c r="U3062" i="20"/>
  <c r="U3061" i="20"/>
  <c r="U3060" i="20"/>
  <c r="U3059" i="20"/>
  <c r="U3058" i="20"/>
  <c r="U3057" i="20"/>
  <c r="U3056" i="20"/>
  <c r="U3055" i="20"/>
  <c r="U3054" i="20"/>
  <c r="U3053" i="20"/>
  <c r="U3052" i="20"/>
  <c r="U3051" i="20"/>
  <c r="U3050" i="20"/>
  <c r="U3049" i="20"/>
  <c r="U3048" i="20"/>
  <c r="U3047" i="20"/>
  <c r="U3046" i="20"/>
  <c r="U3045" i="20"/>
  <c r="U3044" i="20"/>
  <c r="U3043" i="20"/>
  <c r="U3042" i="20"/>
  <c r="U3041" i="20"/>
  <c r="U3040" i="20"/>
  <c r="U3039" i="20"/>
  <c r="U3038" i="20"/>
  <c r="U3037" i="20"/>
  <c r="U3036" i="20"/>
  <c r="U3035" i="20"/>
  <c r="U3034" i="20"/>
  <c r="U3033" i="20"/>
  <c r="U3032" i="20"/>
  <c r="U3031" i="20"/>
  <c r="U3030" i="20"/>
  <c r="U3029" i="20"/>
  <c r="U3028" i="20"/>
  <c r="U3027" i="20"/>
  <c r="U3026" i="20"/>
  <c r="U3025" i="20"/>
  <c r="U3024" i="20"/>
  <c r="U3023" i="20"/>
  <c r="U3022" i="20"/>
  <c r="U3021" i="20"/>
  <c r="U3020" i="20"/>
  <c r="U3019" i="20"/>
  <c r="U3018" i="20"/>
  <c r="U3017" i="20"/>
  <c r="U3016" i="20"/>
  <c r="U3015" i="20"/>
  <c r="U3014" i="20"/>
  <c r="U3013" i="20"/>
  <c r="U3012" i="20"/>
  <c r="U3011" i="20"/>
  <c r="U3010" i="20"/>
  <c r="U3009" i="20"/>
  <c r="U3008" i="20"/>
  <c r="U3007" i="20"/>
  <c r="U3006" i="20"/>
  <c r="U3005" i="20"/>
  <c r="U3004" i="20"/>
  <c r="U3003" i="20"/>
  <c r="U3002" i="20"/>
  <c r="U3001" i="20"/>
  <c r="U3000" i="20"/>
  <c r="U2999" i="20"/>
  <c r="U2998" i="20"/>
  <c r="U2997" i="20"/>
  <c r="U2996" i="20"/>
  <c r="U2995" i="20"/>
  <c r="U2994" i="20"/>
  <c r="U2993" i="20"/>
  <c r="U2992" i="20"/>
  <c r="U2991" i="20"/>
  <c r="U2990" i="20"/>
  <c r="U2989" i="20"/>
  <c r="U2988" i="20"/>
  <c r="U2987" i="20"/>
  <c r="U2986" i="20"/>
  <c r="U2985" i="20"/>
  <c r="U2984" i="20"/>
  <c r="U2983" i="20"/>
  <c r="U2982" i="20"/>
  <c r="U2981" i="20"/>
  <c r="U2980" i="20"/>
  <c r="U2979" i="20"/>
  <c r="U2978" i="20"/>
  <c r="U2977" i="20"/>
  <c r="U2976" i="20"/>
  <c r="U2975" i="20"/>
  <c r="U2974" i="20"/>
  <c r="U2973" i="20"/>
  <c r="U2972" i="20"/>
  <c r="U2971" i="20"/>
  <c r="U2970" i="20"/>
  <c r="U2969" i="20"/>
  <c r="U2968" i="20"/>
  <c r="U2967" i="20"/>
  <c r="U2966" i="20"/>
  <c r="U2965" i="20"/>
  <c r="U2964" i="20"/>
  <c r="U2963" i="20"/>
  <c r="U2962" i="20"/>
  <c r="U2961" i="20"/>
  <c r="U2960" i="20"/>
  <c r="U2959" i="20"/>
  <c r="U2958" i="20"/>
  <c r="U2957" i="20"/>
  <c r="U2956" i="20"/>
  <c r="U2955" i="20"/>
  <c r="U2954" i="20"/>
  <c r="U2953" i="20"/>
  <c r="U2952" i="20"/>
  <c r="U2951" i="20"/>
  <c r="U2950" i="20"/>
  <c r="U2949" i="20"/>
  <c r="U2948" i="20"/>
  <c r="U2947" i="20"/>
  <c r="U2946" i="20"/>
  <c r="U2945" i="20"/>
  <c r="U2944" i="20"/>
  <c r="U2943" i="20"/>
  <c r="U2942" i="20"/>
  <c r="U2941" i="20"/>
  <c r="U2940" i="20"/>
  <c r="U2939" i="20"/>
  <c r="U2938" i="20"/>
  <c r="U2937" i="20"/>
  <c r="U2936" i="20"/>
  <c r="U2935" i="20"/>
  <c r="U2934" i="20"/>
  <c r="U2933" i="20"/>
  <c r="U2932" i="20"/>
  <c r="U2931" i="20"/>
  <c r="U2930" i="20"/>
  <c r="U2929" i="20"/>
  <c r="U2928" i="20"/>
  <c r="U2927" i="20"/>
  <c r="U2926" i="20"/>
  <c r="U2925" i="20"/>
  <c r="U2924" i="20"/>
  <c r="U2923" i="20"/>
  <c r="U2922" i="20"/>
  <c r="U2921" i="20"/>
  <c r="U2920" i="20"/>
  <c r="U2919" i="20"/>
  <c r="U2918" i="20"/>
  <c r="U2917" i="20"/>
  <c r="U2916" i="20"/>
  <c r="U2915" i="20"/>
  <c r="U2914" i="20"/>
  <c r="U2913" i="20"/>
  <c r="U2912" i="20"/>
  <c r="U2911" i="20"/>
  <c r="U2910" i="20"/>
  <c r="U2909" i="20"/>
  <c r="U2908" i="20"/>
  <c r="U2907" i="20"/>
  <c r="U2906" i="20"/>
  <c r="U2905" i="20"/>
  <c r="U2904" i="20"/>
  <c r="U2903" i="20"/>
  <c r="U2902" i="20"/>
  <c r="U2901" i="20"/>
  <c r="U2900" i="20"/>
  <c r="U2899" i="20"/>
  <c r="U2898" i="20"/>
  <c r="U2897" i="20"/>
  <c r="U2896" i="20"/>
  <c r="U2895" i="20"/>
  <c r="U2894" i="20"/>
  <c r="U2893" i="20"/>
  <c r="U2892" i="20"/>
  <c r="U2891" i="20"/>
  <c r="U2890" i="20"/>
  <c r="U2889" i="20"/>
  <c r="U2888" i="20"/>
  <c r="U2887" i="20"/>
  <c r="U2886" i="20"/>
  <c r="U2885" i="20"/>
  <c r="U2884" i="20"/>
  <c r="U2883" i="20"/>
  <c r="U2882" i="20"/>
  <c r="U2881" i="20"/>
  <c r="U2880" i="20"/>
  <c r="U2879" i="20"/>
  <c r="U2878" i="20"/>
  <c r="U2877" i="20"/>
  <c r="U2876" i="20"/>
  <c r="U2875" i="20"/>
  <c r="U2874" i="20"/>
  <c r="U2873" i="20"/>
  <c r="U2872" i="20"/>
  <c r="U2871" i="20"/>
  <c r="U2870" i="20"/>
  <c r="U2869" i="20"/>
  <c r="U2868" i="20"/>
  <c r="U2867" i="20"/>
  <c r="U2866" i="20"/>
  <c r="U2865" i="20"/>
  <c r="U2864" i="20"/>
  <c r="U2863" i="20"/>
  <c r="U2862" i="20"/>
  <c r="U2861" i="20"/>
  <c r="U2860" i="20"/>
  <c r="U2859" i="20"/>
  <c r="U2858" i="20"/>
  <c r="U2857" i="20"/>
  <c r="U2856" i="20"/>
  <c r="U2855" i="20"/>
  <c r="U2854" i="20"/>
  <c r="U2853" i="20"/>
  <c r="U2852" i="20"/>
  <c r="U2851" i="20"/>
  <c r="U2850" i="20"/>
  <c r="U2849" i="20"/>
  <c r="U2848" i="20"/>
  <c r="U2847" i="20"/>
  <c r="U2846" i="20"/>
  <c r="U2845" i="20"/>
  <c r="U2844" i="20"/>
  <c r="U2843" i="20"/>
  <c r="U2842" i="20"/>
  <c r="U2841" i="20"/>
  <c r="U2840" i="20"/>
  <c r="U2839" i="20"/>
  <c r="U2838" i="20"/>
  <c r="U2837" i="20"/>
  <c r="U2836" i="20"/>
  <c r="U2835" i="20"/>
  <c r="U2834" i="20"/>
  <c r="U2833" i="20"/>
  <c r="U2832" i="20"/>
  <c r="U2831" i="20"/>
  <c r="U2830" i="20"/>
  <c r="U2829" i="20"/>
  <c r="U2828" i="20"/>
  <c r="U2827" i="20"/>
  <c r="U2826" i="20"/>
  <c r="U2825" i="20"/>
  <c r="U2824" i="20"/>
  <c r="U2823" i="20"/>
  <c r="U2822" i="20"/>
  <c r="U2821" i="20"/>
  <c r="U2820" i="20"/>
  <c r="U2819" i="20"/>
  <c r="U2818" i="20"/>
  <c r="U2817" i="20"/>
  <c r="U2816" i="20"/>
  <c r="U2815" i="20"/>
  <c r="U2814" i="20"/>
  <c r="U2813" i="20"/>
  <c r="U2812" i="20"/>
  <c r="U2811" i="20"/>
  <c r="U2810" i="20"/>
  <c r="U2809" i="20"/>
  <c r="U2808" i="20"/>
  <c r="U2807" i="20"/>
  <c r="U2806" i="20"/>
  <c r="U2805" i="20"/>
  <c r="U2804" i="20"/>
  <c r="U2803" i="20"/>
  <c r="U2802" i="20"/>
  <c r="U2801" i="20"/>
  <c r="U2800" i="20"/>
  <c r="U2799" i="20"/>
  <c r="U2798" i="20"/>
  <c r="U2797" i="20"/>
  <c r="U2796" i="20"/>
  <c r="U2795" i="20"/>
  <c r="U2794" i="20"/>
  <c r="U2793" i="20"/>
  <c r="U2792" i="20"/>
  <c r="U2791" i="20"/>
  <c r="U2790" i="20"/>
  <c r="U2789" i="20"/>
  <c r="U2788" i="20"/>
  <c r="U2787" i="20"/>
  <c r="U2786" i="20"/>
  <c r="U2785" i="20"/>
  <c r="U2784" i="20"/>
  <c r="U2783" i="20"/>
  <c r="U2782" i="20"/>
  <c r="U2781" i="20"/>
  <c r="U2780" i="20"/>
  <c r="U2779" i="20"/>
  <c r="U2778" i="20"/>
  <c r="U2777" i="20"/>
  <c r="U2776" i="20"/>
  <c r="U2775" i="20"/>
  <c r="U2774" i="20"/>
  <c r="U2773" i="20"/>
  <c r="U2772" i="20"/>
  <c r="U2771" i="20"/>
  <c r="U2770" i="20"/>
  <c r="U2769" i="20"/>
  <c r="U2768" i="20"/>
  <c r="U2767" i="20"/>
  <c r="U2766" i="20"/>
  <c r="U2765" i="20"/>
  <c r="U2764" i="20"/>
  <c r="U2763" i="20"/>
  <c r="U2762" i="20"/>
  <c r="U2761" i="20"/>
  <c r="U2760" i="20"/>
  <c r="U2759" i="20"/>
  <c r="U2758" i="20"/>
  <c r="U2757" i="20"/>
  <c r="U2756" i="20"/>
  <c r="U2755" i="20"/>
  <c r="U2754" i="20"/>
  <c r="U2753" i="20"/>
  <c r="U2752" i="20"/>
  <c r="U2751" i="20"/>
  <c r="U2750" i="20"/>
  <c r="U2749" i="20"/>
  <c r="U2748" i="20"/>
  <c r="U2747" i="20"/>
  <c r="U2746" i="20"/>
  <c r="U2745" i="20"/>
  <c r="U2744" i="20"/>
  <c r="U2743" i="20"/>
  <c r="U2742" i="20"/>
  <c r="U2741" i="20"/>
  <c r="U2740" i="20"/>
  <c r="U2739" i="20"/>
  <c r="U2738" i="20"/>
  <c r="U2737" i="20"/>
  <c r="U2736" i="20"/>
  <c r="U2735" i="20"/>
  <c r="U2734" i="20"/>
  <c r="U2733" i="20"/>
  <c r="U2732" i="20"/>
  <c r="U2731" i="20"/>
  <c r="U2730" i="20"/>
  <c r="U2729" i="20"/>
  <c r="U2728" i="20"/>
  <c r="U2727" i="20"/>
  <c r="U2726" i="20"/>
  <c r="U2725" i="20"/>
  <c r="U2724" i="20"/>
  <c r="U2723" i="20"/>
  <c r="U2722" i="20"/>
  <c r="U2721" i="20"/>
  <c r="U2720" i="20"/>
  <c r="U2719" i="20"/>
  <c r="U2718" i="20"/>
  <c r="U2717" i="20"/>
  <c r="U2716" i="20"/>
  <c r="U2715" i="20"/>
  <c r="U2714" i="20"/>
  <c r="U2713" i="20"/>
  <c r="U2712" i="20"/>
  <c r="U2711" i="20"/>
  <c r="U2710" i="20"/>
  <c r="U2709" i="20"/>
  <c r="U2708" i="20"/>
  <c r="U2707" i="20"/>
  <c r="U2706" i="20"/>
  <c r="U2705" i="20"/>
  <c r="U2704" i="20"/>
  <c r="U2703" i="20"/>
  <c r="U2702" i="20"/>
  <c r="U2701" i="20"/>
  <c r="U2700" i="20"/>
  <c r="U2699" i="20"/>
  <c r="U2698" i="20"/>
  <c r="U2697" i="20"/>
  <c r="U2696" i="20"/>
  <c r="U2695" i="20"/>
  <c r="U2694" i="20"/>
  <c r="U2693" i="20"/>
  <c r="U2692" i="20"/>
  <c r="U2691" i="20"/>
  <c r="U2690" i="20"/>
  <c r="U2689" i="20"/>
  <c r="U2688" i="20"/>
  <c r="U2687" i="20"/>
  <c r="U2686" i="20"/>
  <c r="U2685" i="20"/>
  <c r="U2684" i="20"/>
  <c r="U2683" i="20"/>
  <c r="U2682" i="20"/>
  <c r="U2681" i="20"/>
  <c r="U2680" i="20"/>
  <c r="U2679" i="20"/>
  <c r="U2678" i="20"/>
  <c r="U2677" i="20"/>
  <c r="U2676" i="20"/>
  <c r="U2675" i="20"/>
  <c r="U2674" i="20"/>
  <c r="U2673" i="20"/>
  <c r="U2672" i="20"/>
  <c r="U2671" i="20"/>
  <c r="U2670" i="20"/>
  <c r="U2669" i="20"/>
  <c r="U2668" i="20"/>
  <c r="U2667" i="20"/>
  <c r="U2666" i="20"/>
  <c r="U2665" i="20"/>
  <c r="U2664" i="20"/>
  <c r="U2663" i="20"/>
  <c r="U2662" i="20"/>
  <c r="U2661" i="20"/>
  <c r="U2660" i="20"/>
  <c r="U2659" i="20"/>
  <c r="U2658" i="20"/>
  <c r="U2657" i="20"/>
  <c r="U2656" i="20"/>
  <c r="U2655" i="20"/>
  <c r="U2654" i="20"/>
  <c r="U2653" i="20"/>
  <c r="U2652" i="20"/>
  <c r="U2651" i="20"/>
  <c r="U2650" i="20"/>
  <c r="U2649" i="20"/>
  <c r="U2648" i="20"/>
  <c r="U2647" i="20"/>
  <c r="U2646" i="20"/>
  <c r="U2645" i="20"/>
  <c r="U2644" i="20"/>
  <c r="U2643" i="20"/>
  <c r="U2642" i="20"/>
  <c r="U2641" i="20"/>
  <c r="U2640" i="20"/>
  <c r="U2639" i="20"/>
  <c r="U2638" i="20"/>
  <c r="U2637" i="20"/>
  <c r="U2636" i="20"/>
  <c r="U2635" i="20"/>
  <c r="U2634" i="20"/>
  <c r="U2633" i="20"/>
  <c r="U2632" i="20"/>
  <c r="U2631" i="20"/>
  <c r="U2630" i="20"/>
  <c r="U2629" i="20"/>
  <c r="U2628" i="20"/>
  <c r="U2627" i="20"/>
  <c r="U2626" i="20"/>
  <c r="U2625" i="20"/>
  <c r="U2624" i="20"/>
  <c r="U2623" i="20"/>
  <c r="U2622" i="20"/>
  <c r="U2621" i="20"/>
  <c r="U2620" i="20"/>
  <c r="U2619" i="20"/>
  <c r="U2618" i="20"/>
  <c r="U2617" i="20"/>
  <c r="U2616" i="20"/>
  <c r="U2615" i="20"/>
  <c r="U2614" i="20"/>
  <c r="U2613" i="20"/>
  <c r="U2612" i="20"/>
  <c r="U2611" i="20"/>
  <c r="U2610" i="20"/>
  <c r="U2609" i="20"/>
  <c r="U2608" i="20"/>
  <c r="U2607" i="20"/>
  <c r="U2606" i="20"/>
  <c r="U2605" i="20"/>
  <c r="U2604" i="20"/>
  <c r="U2603" i="20"/>
  <c r="U2602" i="20"/>
  <c r="U2601" i="20"/>
  <c r="U2600" i="20"/>
  <c r="U2599" i="20"/>
  <c r="U2598" i="20"/>
  <c r="U2597" i="20"/>
  <c r="U2596" i="20"/>
  <c r="U2595" i="20"/>
  <c r="U2594" i="20"/>
  <c r="U2593" i="20"/>
  <c r="U2592" i="20"/>
  <c r="U2591" i="20"/>
  <c r="U2590" i="20"/>
  <c r="U2589" i="20"/>
  <c r="U2588" i="20"/>
  <c r="U2587" i="20"/>
  <c r="U2586" i="20"/>
  <c r="U2585" i="20"/>
  <c r="U2584" i="20"/>
  <c r="U2583" i="20"/>
  <c r="U2582" i="20"/>
  <c r="U2581" i="20"/>
  <c r="U2580" i="20"/>
  <c r="U2579" i="20"/>
  <c r="U2578" i="20"/>
  <c r="U2577" i="20"/>
  <c r="U2576" i="20"/>
  <c r="U2575" i="20"/>
  <c r="U2574" i="20"/>
  <c r="U2573" i="20"/>
  <c r="U2572" i="20"/>
  <c r="U2571" i="20"/>
  <c r="U2570" i="20"/>
  <c r="U2569" i="20"/>
  <c r="U2568" i="20"/>
  <c r="U2567" i="20"/>
  <c r="U2566" i="20"/>
  <c r="U2565" i="20"/>
  <c r="U2564" i="20"/>
  <c r="U2563" i="20"/>
  <c r="U2562" i="20"/>
  <c r="U2561" i="20"/>
  <c r="U2560" i="20"/>
  <c r="U2559" i="20"/>
  <c r="U2558" i="20"/>
  <c r="U2557" i="20"/>
  <c r="U2556" i="20"/>
  <c r="U2555" i="20"/>
  <c r="U2554" i="20"/>
  <c r="U2553" i="20"/>
  <c r="U2552" i="20"/>
  <c r="U2551" i="20"/>
  <c r="U2550" i="20"/>
  <c r="U2549" i="20"/>
  <c r="U2548" i="20"/>
  <c r="U2547" i="20"/>
  <c r="U2546" i="20"/>
  <c r="U2545" i="20"/>
  <c r="U2544" i="20"/>
  <c r="U2543" i="20"/>
  <c r="U2542" i="20"/>
  <c r="U2541" i="20"/>
  <c r="U2540" i="20"/>
  <c r="U2539" i="20"/>
  <c r="U2538" i="20"/>
  <c r="U2537" i="20"/>
  <c r="U2536" i="20"/>
  <c r="U2535" i="20"/>
  <c r="U2534" i="20"/>
  <c r="U2533" i="20"/>
  <c r="U2532" i="20"/>
  <c r="U2531" i="20"/>
  <c r="U2530" i="20"/>
  <c r="U2529" i="20"/>
  <c r="U2528" i="20"/>
  <c r="U2527" i="20"/>
  <c r="U2526" i="20"/>
  <c r="U2525" i="20"/>
  <c r="U2524" i="20"/>
  <c r="U2523" i="20"/>
  <c r="U2522" i="20"/>
  <c r="U2521" i="20"/>
  <c r="U2520" i="20"/>
  <c r="U2519" i="20"/>
  <c r="U2518" i="20"/>
  <c r="U2517" i="20"/>
  <c r="U2516" i="20"/>
  <c r="U2515" i="20"/>
  <c r="U2514" i="20"/>
  <c r="U2513" i="20"/>
  <c r="U2512" i="20"/>
  <c r="U2511" i="20"/>
  <c r="U2510" i="20"/>
  <c r="U2509" i="20"/>
  <c r="U2508" i="20"/>
  <c r="U2507" i="20"/>
  <c r="U2506" i="20"/>
  <c r="U2505" i="20"/>
  <c r="U2504" i="20"/>
  <c r="U2503" i="20"/>
  <c r="U2502" i="20"/>
  <c r="U2501" i="20"/>
  <c r="U2500" i="20"/>
  <c r="U2499" i="20"/>
  <c r="U2498" i="20"/>
  <c r="U2497" i="20"/>
  <c r="U2496" i="20"/>
  <c r="U2495" i="20"/>
  <c r="U2494" i="20"/>
  <c r="U2493" i="20"/>
  <c r="U2492" i="20"/>
  <c r="U2491" i="20"/>
  <c r="U2490" i="20"/>
  <c r="U2489" i="20"/>
  <c r="U2488" i="20"/>
  <c r="U2487" i="20"/>
  <c r="U2486" i="20"/>
  <c r="U2485" i="20"/>
  <c r="U2484" i="20"/>
  <c r="U2483" i="20"/>
  <c r="U2482" i="20"/>
  <c r="U2481" i="20"/>
  <c r="U2480" i="20"/>
  <c r="U2479" i="20"/>
  <c r="U2478" i="20"/>
  <c r="U2477" i="20"/>
  <c r="U2476" i="20"/>
  <c r="U2475" i="20"/>
  <c r="U2474" i="20"/>
  <c r="U2473" i="20"/>
  <c r="U2472" i="20"/>
  <c r="U2471" i="20"/>
  <c r="U2470" i="20"/>
  <c r="U2469" i="20"/>
  <c r="U2468" i="20"/>
  <c r="U2467" i="20"/>
  <c r="U2466" i="20"/>
  <c r="U2465" i="20"/>
  <c r="U2464" i="20"/>
  <c r="U2463" i="20"/>
  <c r="U2462" i="20"/>
  <c r="U2461" i="20"/>
  <c r="U2460" i="20"/>
  <c r="U2459" i="20"/>
  <c r="U2458" i="20"/>
  <c r="U2457" i="20"/>
  <c r="U2456" i="20"/>
  <c r="U2455" i="20"/>
  <c r="U2454" i="20"/>
  <c r="U2453" i="20"/>
  <c r="U2452" i="20"/>
  <c r="U2451" i="20"/>
  <c r="U2450" i="20"/>
  <c r="U2449" i="20"/>
  <c r="U2448" i="20"/>
  <c r="U2447" i="20"/>
  <c r="U2446" i="20"/>
  <c r="U2445" i="20"/>
  <c r="U2444" i="20"/>
  <c r="U2443" i="20"/>
  <c r="U2442" i="20"/>
  <c r="U2441" i="20"/>
  <c r="U2440" i="20"/>
  <c r="U2439" i="20"/>
  <c r="U2438" i="20"/>
  <c r="U2437" i="20"/>
  <c r="U2436" i="20"/>
  <c r="U2435" i="20"/>
  <c r="U2434" i="20"/>
  <c r="U2433" i="20"/>
  <c r="U2432" i="20"/>
  <c r="U2431" i="20"/>
  <c r="U2430" i="20"/>
  <c r="U2429" i="20"/>
  <c r="U2428" i="20"/>
  <c r="U2427" i="20"/>
  <c r="U2426" i="20"/>
  <c r="U2425" i="20"/>
  <c r="U2424" i="20"/>
  <c r="U2423" i="20"/>
  <c r="U2422" i="20"/>
  <c r="U2421" i="20"/>
  <c r="U2420" i="20"/>
  <c r="U2419" i="20"/>
  <c r="U2418" i="20"/>
  <c r="U2417" i="20"/>
  <c r="U2416" i="20"/>
  <c r="U2415" i="20"/>
  <c r="U2414" i="20"/>
  <c r="U2413" i="20"/>
  <c r="U2412" i="20"/>
  <c r="U2411" i="20"/>
  <c r="U2410" i="20"/>
  <c r="U2409" i="20"/>
  <c r="U2408" i="20"/>
  <c r="U2407" i="20"/>
  <c r="U2406" i="20"/>
  <c r="U2405" i="20"/>
  <c r="U2404" i="20"/>
  <c r="U2403" i="20"/>
  <c r="U2402" i="20"/>
  <c r="U2401" i="20"/>
  <c r="U2400" i="20"/>
  <c r="U2399" i="20"/>
  <c r="U2398" i="20"/>
  <c r="U2397" i="20"/>
  <c r="U2396" i="20"/>
  <c r="U2395" i="20"/>
  <c r="U2394" i="20"/>
  <c r="U2393" i="20"/>
  <c r="U2392" i="20"/>
  <c r="U2391" i="20"/>
  <c r="U2390" i="20"/>
  <c r="U2389" i="20"/>
  <c r="U2388" i="20"/>
  <c r="U2387" i="20"/>
  <c r="U2386" i="20"/>
  <c r="U2385" i="20"/>
  <c r="U2384" i="20"/>
  <c r="U2383" i="20"/>
  <c r="U2382" i="20"/>
  <c r="U2381" i="20"/>
  <c r="U2380" i="20"/>
  <c r="U2379" i="20"/>
  <c r="U2378" i="20"/>
  <c r="U2377" i="20"/>
  <c r="U2376" i="20"/>
  <c r="U2375" i="20"/>
  <c r="U2374" i="20"/>
  <c r="U2373" i="20"/>
  <c r="U2372" i="20"/>
  <c r="U2371" i="20"/>
  <c r="U2370" i="20"/>
  <c r="U2369" i="20"/>
  <c r="U2368" i="20"/>
  <c r="U2367" i="20"/>
  <c r="U2366" i="20"/>
  <c r="U2365" i="20"/>
  <c r="U2364" i="20"/>
  <c r="U2363" i="20"/>
  <c r="U2362" i="20"/>
  <c r="U2361" i="20"/>
  <c r="U2360" i="20"/>
  <c r="U2359" i="20"/>
  <c r="U2358" i="20"/>
  <c r="U2357" i="20"/>
  <c r="U2356" i="20"/>
  <c r="U2355" i="20"/>
  <c r="U2354" i="20"/>
  <c r="U2353" i="20"/>
  <c r="U2352" i="20"/>
  <c r="U2351" i="20"/>
  <c r="U2350" i="20"/>
  <c r="U2349" i="20"/>
  <c r="U2348" i="20"/>
  <c r="U2347" i="20"/>
  <c r="U2346" i="20"/>
  <c r="U2345" i="20"/>
  <c r="U2344" i="20"/>
  <c r="U2343" i="20"/>
  <c r="U2342" i="20"/>
  <c r="U2341" i="20"/>
  <c r="U2340" i="20"/>
  <c r="U2339" i="20"/>
  <c r="U2338" i="20"/>
  <c r="U2337" i="20"/>
  <c r="U2336" i="20"/>
  <c r="U2335" i="20"/>
  <c r="U2334" i="20"/>
  <c r="U2333" i="20"/>
  <c r="U2332" i="20"/>
  <c r="U2331" i="20"/>
  <c r="U2330" i="20"/>
  <c r="U2329" i="20"/>
  <c r="U2328" i="20"/>
  <c r="U2327" i="20"/>
  <c r="U2326" i="20"/>
  <c r="U2325" i="20"/>
  <c r="U2324" i="20"/>
  <c r="U2323" i="20"/>
  <c r="U2322" i="20"/>
  <c r="U2321" i="20"/>
  <c r="U2320" i="20"/>
  <c r="U2319" i="20"/>
  <c r="U2318" i="20"/>
  <c r="U2317" i="20"/>
  <c r="U2316" i="20"/>
  <c r="U2315" i="20"/>
  <c r="U2314" i="20"/>
  <c r="U2313" i="20"/>
  <c r="U2312" i="20"/>
  <c r="U2311" i="20"/>
  <c r="U2310" i="20"/>
  <c r="U2309" i="20"/>
  <c r="U2308" i="20"/>
  <c r="U2307" i="20"/>
  <c r="U2306" i="20"/>
  <c r="U2305" i="20"/>
  <c r="U2304" i="20"/>
  <c r="U2303" i="20"/>
  <c r="U2302" i="20"/>
  <c r="U2301" i="20"/>
  <c r="U2300" i="20"/>
  <c r="U2299" i="20"/>
  <c r="U2298" i="20"/>
  <c r="U2297" i="20"/>
  <c r="U2296" i="20"/>
  <c r="U2295" i="20"/>
  <c r="U2294" i="20"/>
  <c r="U2293" i="20"/>
  <c r="U2292" i="20"/>
  <c r="U2291" i="20"/>
  <c r="U2290" i="20"/>
  <c r="U2289" i="20"/>
  <c r="U2288" i="20"/>
  <c r="U2287" i="20"/>
  <c r="U2286" i="20"/>
  <c r="U2285" i="20"/>
  <c r="U2284" i="20"/>
  <c r="U2283" i="20"/>
  <c r="U2282" i="20"/>
  <c r="U2281" i="20"/>
  <c r="U2280" i="20"/>
  <c r="U2279" i="20"/>
  <c r="U2278" i="20"/>
  <c r="U2277" i="20"/>
  <c r="U2276" i="20"/>
  <c r="U2275" i="20"/>
  <c r="U2274" i="20"/>
  <c r="U2273" i="20"/>
  <c r="U2272" i="20"/>
  <c r="U2271" i="20"/>
  <c r="U2270" i="20"/>
  <c r="U2269" i="20"/>
  <c r="U2268" i="20"/>
  <c r="U2267" i="20"/>
  <c r="U2266" i="20"/>
  <c r="U2265" i="20"/>
  <c r="U2264" i="20"/>
  <c r="U2263" i="20"/>
  <c r="U2262" i="20"/>
  <c r="U2261" i="20"/>
  <c r="U2260" i="20"/>
  <c r="U2259" i="20"/>
  <c r="U2258" i="20"/>
  <c r="U2257" i="20"/>
  <c r="U2256" i="20"/>
  <c r="U2255" i="20"/>
  <c r="U2254" i="20"/>
  <c r="U2253" i="20"/>
  <c r="U2252" i="20"/>
  <c r="U2251" i="20"/>
  <c r="U2250" i="20"/>
  <c r="U2249" i="20"/>
  <c r="U2248" i="20"/>
  <c r="U2247" i="20"/>
  <c r="U2246" i="20"/>
  <c r="U2245" i="20"/>
  <c r="U2244" i="20"/>
  <c r="U2243" i="20"/>
  <c r="U2242" i="20"/>
  <c r="U2241" i="20"/>
  <c r="U2240" i="20"/>
  <c r="U2239" i="20"/>
  <c r="U2238" i="20"/>
  <c r="U2237" i="20"/>
  <c r="U2236" i="20"/>
  <c r="U2235" i="20"/>
  <c r="U2234" i="20"/>
  <c r="U2233" i="20"/>
  <c r="U2232" i="20"/>
  <c r="U2231" i="20"/>
  <c r="U2230" i="20"/>
  <c r="U2229" i="20"/>
  <c r="U2228" i="20"/>
  <c r="U2227" i="20"/>
  <c r="U2226" i="20"/>
  <c r="U2225" i="20"/>
  <c r="U2224" i="20"/>
  <c r="U2223" i="20"/>
  <c r="U2222" i="20"/>
  <c r="U2221" i="20"/>
  <c r="U2220" i="20"/>
  <c r="U2219" i="20"/>
  <c r="U2218" i="20"/>
  <c r="U2217" i="20"/>
  <c r="U2216" i="20"/>
  <c r="U2215" i="20"/>
  <c r="U2214" i="20"/>
  <c r="U2213" i="20"/>
  <c r="U2212" i="20"/>
  <c r="U2211" i="20"/>
  <c r="U2210" i="20"/>
  <c r="U2209" i="20"/>
  <c r="U2208" i="20"/>
  <c r="U2207" i="20"/>
  <c r="U2206" i="20"/>
  <c r="U2205" i="20"/>
  <c r="U2204" i="20"/>
  <c r="U2203" i="20"/>
  <c r="U2202" i="20"/>
  <c r="U2201" i="20"/>
  <c r="U2200" i="20"/>
  <c r="U2199" i="20"/>
  <c r="U2198" i="20"/>
  <c r="U2197" i="20"/>
  <c r="U2196" i="20"/>
  <c r="U2195" i="20"/>
  <c r="U2194" i="20"/>
  <c r="U2193" i="20"/>
  <c r="U2192" i="20"/>
  <c r="U2191" i="20"/>
  <c r="U2190" i="20"/>
  <c r="U2189" i="20"/>
  <c r="U2188" i="20"/>
  <c r="U2187" i="20"/>
  <c r="U2186" i="20"/>
  <c r="U2185" i="20"/>
  <c r="U2184" i="20"/>
  <c r="U2183" i="20"/>
  <c r="U2182" i="20"/>
  <c r="U2181" i="20"/>
  <c r="U2180" i="20"/>
  <c r="U2179" i="20"/>
  <c r="U2178" i="20"/>
  <c r="U2177" i="20"/>
  <c r="U2176" i="20"/>
  <c r="U2175" i="20"/>
  <c r="U2174" i="20"/>
  <c r="U2173" i="20"/>
  <c r="U2172" i="20"/>
  <c r="U2171" i="20"/>
  <c r="U2170" i="20"/>
  <c r="U2169" i="20"/>
  <c r="U2168" i="20"/>
  <c r="U2167" i="20"/>
  <c r="U2166" i="20"/>
  <c r="U2165" i="20"/>
  <c r="U2164" i="20"/>
  <c r="U2163" i="20"/>
  <c r="U2162" i="20"/>
  <c r="U2161" i="20"/>
  <c r="U2160" i="20"/>
  <c r="U2159" i="20"/>
  <c r="U2158" i="20"/>
  <c r="U2157" i="20"/>
  <c r="U2156" i="20"/>
  <c r="U2155" i="20"/>
  <c r="U2154" i="20"/>
  <c r="U2153" i="20"/>
  <c r="U2152" i="20"/>
  <c r="U2151" i="20"/>
  <c r="U2150" i="20"/>
  <c r="U2149" i="20"/>
  <c r="U2148" i="20"/>
  <c r="U2147" i="20"/>
  <c r="U2146" i="20"/>
  <c r="U2145" i="20"/>
  <c r="U2144" i="20"/>
  <c r="U2143" i="20"/>
  <c r="U2142" i="20"/>
  <c r="U2141" i="20"/>
  <c r="U2140" i="20"/>
  <c r="U2139" i="20"/>
  <c r="U2138" i="20"/>
  <c r="U2137" i="20"/>
  <c r="U2136" i="20"/>
  <c r="U2135" i="20"/>
  <c r="U2134" i="20"/>
  <c r="U2133" i="20"/>
  <c r="U2132" i="20"/>
  <c r="U2131" i="20"/>
  <c r="U2130" i="20"/>
  <c r="U2129" i="20"/>
  <c r="U2128" i="20"/>
  <c r="U2127" i="20"/>
  <c r="U2126" i="20"/>
  <c r="U2125" i="20"/>
  <c r="U2124" i="20"/>
  <c r="U2123" i="20"/>
  <c r="U2122" i="20"/>
  <c r="U2121" i="20"/>
  <c r="U2120" i="20"/>
  <c r="U2119" i="20"/>
  <c r="U2118" i="20"/>
  <c r="U2117" i="20"/>
  <c r="U2116" i="20"/>
  <c r="U2115" i="20"/>
  <c r="U2114" i="20"/>
  <c r="U2113" i="20"/>
  <c r="U2112" i="20"/>
  <c r="U2111" i="20"/>
  <c r="U2110" i="20"/>
  <c r="U2109" i="20"/>
  <c r="U2108" i="20"/>
  <c r="U2107" i="20"/>
  <c r="U2106" i="20"/>
  <c r="U2105" i="20"/>
  <c r="U2104" i="20"/>
  <c r="U2103" i="20"/>
  <c r="U2102" i="20"/>
  <c r="U2101" i="20"/>
  <c r="U2100" i="20"/>
  <c r="U2099" i="20"/>
  <c r="U2098" i="20"/>
  <c r="U2097" i="20"/>
  <c r="U2096" i="20"/>
  <c r="U2095" i="20"/>
  <c r="U2094" i="20"/>
  <c r="U2093" i="20"/>
  <c r="U2092" i="20"/>
  <c r="U2091" i="20"/>
  <c r="U2090" i="20"/>
  <c r="U2089" i="20"/>
  <c r="U2088" i="20"/>
  <c r="U2087" i="20"/>
  <c r="U2086" i="20"/>
  <c r="U2085" i="20"/>
  <c r="U2084" i="20"/>
  <c r="U2083" i="20"/>
  <c r="U2082" i="20"/>
  <c r="U2081" i="20"/>
  <c r="U2080" i="20"/>
  <c r="U2079" i="20"/>
  <c r="U2078" i="20"/>
  <c r="U2077" i="20"/>
  <c r="U2076" i="20"/>
  <c r="U2075" i="20"/>
  <c r="U2074" i="20"/>
  <c r="U2073" i="20"/>
  <c r="U2072" i="20"/>
  <c r="U2071" i="20"/>
  <c r="U2070" i="20"/>
  <c r="U2069" i="20"/>
  <c r="U2068" i="20"/>
  <c r="U2067" i="20"/>
  <c r="U2066" i="20"/>
  <c r="U2065" i="20"/>
  <c r="U2064" i="20"/>
  <c r="U2063" i="20"/>
  <c r="U2062" i="20"/>
  <c r="U2061" i="20"/>
  <c r="U2060" i="20"/>
  <c r="U2059" i="20"/>
  <c r="U2058" i="20"/>
  <c r="U2057" i="20"/>
  <c r="U2056" i="20"/>
  <c r="U2055" i="20"/>
  <c r="U2054" i="20"/>
  <c r="U2053" i="20"/>
  <c r="U2052" i="20"/>
  <c r="U2051" i="20"/>
  <c r="U2050" i="20"/>
  <c r="U2049" i="20"/>
  <c r="U2048" i="20"/>
  <c r="U2047" i="20"/>
  <c r="U2046" i="20"/>
  <c r="U2045" i="20"/>
  <c r="U2044" i="20"/>
  <c r="U2043" i="20"/>
  <c r="U2042" i="20"/>
  <c r="U2041" i="20"/>
  <c r="U2040" i="20"/>
  <c r="U2039" i="20"/>
  <c r="U2038" i="20"/>
  <c r="U2037" i="20"/>
  <c r="U2036" i="20"/>
  <c r="U2035" i="20"/>
  <c r="U2034" i="20"/>
  <c r="U2033" i="20"/>
  <c r="U2032" i="20"/>
  <c r="U2031" i="20"/>
  <c r="U2030" i="20"/>
  <c r="U2029" i="20"/>
  <c r="U2028" i="20"/>
  <c r="U2027" i="20"/>
  <c r="U2026" i="20"/>
  <c r="U2025" i="20"/>
  <c r="U2024" i="20"/>
  <c r="U2023" i="20"/>
  <c r="U2022" i="20"/>
  <c r="U2021" i="20"/>
  <c r="U2020" i="20"/>
  <c r="U2019" i="20"/>
  <c r="U2018" i="20"/>
  <c r="U2017" i="20"/>
  <c r="U2016" i="20"/>
  <c r="U2015" i="20"/>
  <c r="U2014" i="20"/>
  <c r="U2013" i="20"/>
  <c r="U2012" i="20"/>
  <c r="U2011" i="20"/>
  <c r="U2010" i="20"/>
  <c r="U2009" i="20"/>
  <c r="U2008" i="20"/>
  <c r="U2007" i="20"/>
  <c r="U2006" i="20"/>
  <c r="U2005" i="20"/>
  <c r="U2004" i="20"/>
  <c r="U2003" i="20"/>
  <c r="U2002" i="20"/>
  <c r="U2001" i="20"/>
  <c r="U2000" i="20"/>
  <c r="U1999" i="20"/>
  <c r="U1998" i="20"/>
  <c r="U1997" i="20"/>
  <c r="U1996" i="20"/>
  <c r="U1995" i="20"/>
  <c r="U1994" i="20"/>
  <c r="U1993" i="20"/>
  <c r="U1992" i="20"/>
  <c r="U1991" i="20"/>
  <c r="U1990" i="20"/>
  <c r="U1989" i="20"/>
  <c r="U1988" i="20"/>
  <c r="U1987" i="20"/>
  <c r="U1986" i="20"/>
  <c r="U1985" i="20"/>
  <c r="U1984" i="20"/>
  <c r="U1983" i="20"/>
  <c r="U1982" i="20"/>
  <c r="U1981" i="20"/>
  <c r="U1980" i="20"/>
  <c r="U1979" i="20"/>
  <c r="U1978" i="20"/>
  <c r="U1977" i="20"/>
  <c r="U1976" i="20"/>
  <c r="U1975" i="20"/>
  <c r="U1974" i="20"/>
  <c r="U1973" i="20"/>
  <c r="U1972" i="20"/>
  <c r="U1971" i="20"/>
  <c r="U1970" i="20"/>
  <c r="U1969" i="20"/>
  <c r="U1968" i="20"/>
  <c r="U1967" i="20"/>
  <c r="U1966" i="20"/>
  <c r="U1965" i="20"/>
  <c r="U1964" i="20"/>
  <c r="U1963" i="20"/>
  <c r="U1962" i="20"/>
  <c r="U1961" i="20"/>
  <c r="U1960" i="20"/>
  <c r="U1959" i="20"/>
  <c r="U1958" i="20"/>
  <c r="U1957" i="20"/>
  <c r="U1956" i="20"/>
  <c r="U1955" i="20"/>
  <c r="U1954" i="20"/>
  <c r="U1953" i="20"/>
  <c r="U1952" i="20"/>
  <c r="U1951" i="20"/>
  <c r="U1950" i="20"/>
  <c r="U1949" i="20"/>
  <c r="U1948" i="20"/>
  <c r="U1947" i="20"/>
  <c r="U1946" i="20"/>
  <c r="U1945" i="20"/>
  <c r="U1944" i="20"/>
  <c r="U1943" i="20"/>
  <c r="U1942" i="20"/>
  <c r="U1941" i="20"/>
  <c r="U1940" i="20"/>
  <c r="U1939" i="20"/>
  <c r="U1938" i="20"/>
  <c r="U1937" i="20"/>
  <c r="U1936" i="20"/>
  <c r="U1935" i="20"/>
  <c r="U1934" i="20"/>
  <c r="U1933" i="20"/>
  <c r="U1932" i="20"/>
  <c r="U1931" i="20"/>
  <c r="U1930" i="20"/>
  <c r="U1929" i="20"/>
  <c r="U1928" i="20"/>
  <c r="U1927" i="20"/>
  <c r="U1926" i="20"/>
  <c r="U1925" i="20"/>
  <c r="U1924" i="20"/>
  <c r="U1923" i="20"/>
  <c r="U1922" i="20"/>
  <c r="U1921" i="20"/>
  <c r="U1920" i="20"/>
  <c r="U1919" i="20"/>
  <c r="U1918" i="20"/>
  <c r="U1917" i="20"/>
  <c r="U1916" i="20"/>
  <c r="U1915" i="20"/>
  <c r="U1914" i="20"/>
  <c r="U1913" i="20"/>
  <c r="U1912" i="20"/>
  <c r="U1911" i="20"/>
  <c r="U1910" i="20"/>
  <c r="U1909" i="20"/>
  <c r="U1908" i="20"/>
  <c r="U1907" i="20"/>
  <c r="U1906" i="20"/>
  <c r="U1905" i="20"/>
  <c r="U1904" i="20"/>
  <c r="U1903" i="20"/>
  <c r="U1902" i="20"/>
  <c r="U1901" i="20"/>
  <c r="U1900" i="20"/>
  <c r="U1899" i="20"/>
  <c r="U1898" i="20"/>
  <c r="U1897" i="20"/>
  <c r="U1896" i="20"/>
  <c r="U1895" i="20"/>
  <c r="U1894" i="20"/>
  <c r="U1893" i="20"/>
  <c r="U1892" i="20"/>
  <c r="U1891" i="20"/>
  <c r="U1890" i="20"/>
  <c r="U1889" i="20"/>
  <c r="U1888" i="20"/>
  <c r="U1887" i="20"/>
  <c r="U1886" i="20"/>
  <c r="U1885" i="20"/>
  <c r="U1884" i="20"/>
  <c r="U1883" i="20"/>
  <c r="U1882" i="20"/>
  <c r="U1881" i="20"/>
  <c r="U1880" i="20"/>
  <c r="U1879" i="20"/>
  <c r="U1878" i="20"/>
  <c r="U1877" i="20"/>
  <c r="U1876" i="20"/>
  <c r="U1875" i="20"/>
  <c r="U1874" i="20"/>
  <c r="U1873" i="20"/>
  <c r="U1872" i="20"/>
  <c r="U1871" i="20"/>
  <c r="U1870" i="20"/>
  <c r="U1869" i="20"/>
  <c r="U1868" i="20"/>
  <c r="U1867" i="20"/>
  <c r="U1866" i="20"/>
  <c r="U1865" i="20"/>
  <c r="U1864" i="20"/>
  <c r="U1863" i="20"/>
  <c r="U1862" i="20"/>
  <c r="U1861" i="20"/>
  <c r="U1860" i="20"/>
  <c r="U1859" i="20"/>
  <c r="U1858" i="20"/>
  <c r="U1857" i="20"/>
  <c r="U1856" i="20"/>
  <c r="U1855" i="20"/>
  <c r="U1854" i="20"/>
  <c r="U1853" i="20"/>
  <c r="U1852" i="20"/>
  <c r="U1851" i="20"/>
  <c r="U1850" i="20"/>
  <c r="U1849" i="20"/>
  <c r="U1848" i="20"/>
  <c r="U1847" i="20"/>
  <c r="U1846" i="20"/>
  <c r="U1845" i="20"/>
  <c r="U1844" i="20"/>
  <c r="U1843" i="20"/>
  <c r="U1842" i="20"/>
  <c r="U1841" i="20"/>
  <c r="U1840" i="20"/>
  <c r="U1839" i="20"/>
  <c r="U1838" i="20"/>
  <c r="U1837" i="20"/>
  <c r="U1836" i="20"/>
  <c r="U1835" i="20"/>
  <c r="U1834" i="20"/>
  <c r="U1833" i="20"/>
  <c r="U1832" i="20"/>
  <c r="U1831" i="20"/>
  <c r="U1830" i="20"/>
  <c r="U1829" i="20"/>
  <c r="U1828" i="20"/>
  <c r="U1827" i="20"/>
  <c r="U1826" i="20"/>
  <c r="U1825" i="20"/>
  <c r="U1824" i="20"/>
  <c r="U1823" i="20"/>
  <c r="U1822" i="20"/>
  <c r="U1821" i="20"/>
  <c r="U1820" i="20"/>
  <c r="U1819" i="20"/>
  <c r="U1818" i="20"/>
  <c r="U1817" i="20"/>
  <c r="U1816" i="20"/>
  <c r="U1815" i="20"/>
  <c r="U1814" i="20"/>
  <c r="U1813" i="20"/>
  <c r="U1812" i="20"/>
  <c r="U1811" i="20"/>
  <c r="U1810" i="20"/>
  <c r="U1809" i="20"/>
  <c r="U1808" i="20"/>
  <c r="U1807" i="20"/>
  <c r="U1806" i="20"/>
  <c r="U1805" i="20"/>
  <c r="U1804" i="20"/>
  <c r="U1803" i="20"/>
  <c r="U1802" i="20"/>
  <c r="U1801" i="20"/>
  <c r="U1800" i="20"/>
  <c r="U1799" i="20"/>
  <c r="U1798" i="20"/>
  <c r="U1797" i="20"/>
  <c r="U1796" i="20"/>
  <c r="U1795" i="20"/>
  <c r="U1794" i="20"/>
  <c r="U1793" i="20"/>
  <c r="U1792" i="20"/>
  <c r="U1791" i="20"/>
  <c r="U1790" i="20"/>
  <c r="U1789" i="20"/>
  <c r="U1788" i="20"/>
  <c r="U1787" i="20"/>
  <c r="U1786" i="20"/>
  <c r="U1785" i="20"/>
  <c r="U1784" i="20"/>
  <c r="U1783" i="20"/>
  <c r="U1782" i="20"/>
  <c r="U1781" i="20"/>
  <c r="U1780" i="20"/>
  <c r="U1779" i="20"/>
  <c r="U1778" i="20"/>
  <c r="U1777" i="20"/>
  <c r="U1776" i="20"/>
  <c r="U1775" i="20"/>
  <c r="U1774" i="20"/>
  <c r="U1773" i="20"/>
  <c r="U1772" i="20"/>
  <c r="U1771" i="20"/>
  <c r="U1770" i="20"/>
  <c r="U1769" i="20"/>
  <c r="U1768" i="20"/>
  <c r="U1767" i="20"/>
  <c r="U1766" i="20"/>
  <c r="U1765" i="20"/>
  <c r="U1764" i="20"/>
  <c r="U1763" i="20"/>
  <c r="U1762" i="20"/>
  <c r="U1761" i="20"/>
  <c r="U1760" i="20"/>
  <c r="U1759" i="20"/>
  <c r="U1758" i="20"/>
  <c r="U1757" i="20"/>
  <c r="U1756" i="20"/>
  <c r="U1755" i="20"/>
  <c r="U1754" i="20"/>
  <c r="U1753" i="20"/>
  <c r="U1752" i="20"/>
  <c r="U1751" i="20"/>
  <c r="U1750" i="20"/>
  <c r="U1749" i="20"/>
  <c r="U1748" i="20"/>
  <c r="U1747" i="20"/>
  <c r="U1746" i="20"/>
  <c r="U1745" i="20"/>
  <c r="U1744" i="20"/>
  <c r="U1743" i="20"/>
  <c r="U1742" i="20"/>
  <c r="U1741" i="20"/>
  <c r="U1740" i="20"/>
  <c r="U1739" i="20"/>
  <c r="U1738" i="20"/>
  <c r="U1737" i="20"/>
  <c r="U1736" i="20"/>
  <c r="U1735" i="20"/>
  <c r="U1734" i="20"/>
  <c r="U1733" i="20"/>
  <c r="U1732" i="20"/>
  <c r="U1731" i="20"/>
  <c r="U1730" i="20"/>
  <c r="U1729" i="20"/>
  <c r="U1728" i="20"/>
  <c r="U1727" i="20"/>
  <c r="U1726" i="20"/>
  <c r="U1725" i="20"/>
  <c r="U1724" i="20"/>
  <c r="U1723" i="20"/>
  <c r="U1722" i="20"/>
  <c r="U1721" i="20"/>
  <c r="U1720" i="20"/>
  <c r="U1719" i="20"/>
  <c r="U1718" i="20"/>
  <c r="U1717" i="20"/>
  <c r="U1716" i="20"/>
  <c r="U1715" i="20"/>
  <c r="U1714" i="20"/>
  <c r="U1713" i="20"/>
  <c r="U1712" i="20"/>
  <c r="U1711" i="20"/>
  <c r="U1710" i="20"/>
  <c r="U1709" i="20"/>
  <c r="U1708" i="20"/>
  <c r="U1707" i="20"/>
  <c r="U1706" i="20"/>
  <c r="U1705" i="20"/>
  <c r="U1704" i="20"/>
  <c r="U1703" i="20"/>
  <c r="U1702" i="20"/>
  <c r="U1701" i="20"/>
  <c r="U1700" i="20"/>
  <c r="U1699" i="20"/>
  <c r="U1698" i="20"/>
  <c r="U1697" i="20"/>
  <c r="U1696" i="20"/>
  <c r="U1695" i="20"/>
  <c r="U1694" i="20"/>
  <c r="U1693" i="20"/>
  <c r="U1692" i="20"/>
  <c r="U1691" i="20"/>
  <c r="U1690" i="20"/>
  <c r="U1689" i="20"/>
  <c r="U1688" i="20"/>
  <c r="U1687" i="20"/>
  <c r="U1686" i="20"/>
  <c r="U1685" i="20"/>
  <c r="U1684" i="20"/>
  <c r="U1683" i="20"/>
  <c r="U1682" i="20"/>
  <c r="U1681" i="20"/>
  <c r="U1680" i="20"/>
  <c r="U1679" i="20"/>
  <c r="U1678" i="20"/>
  <c r="U1677" i="20"/>
  <c r="U1676" i="20"/>
  <c r="U1675" i="20"/>
  <c r="U1674" i="20"/>
  <c r="U1673" i="20"/>
  <c r="U1672" i="20"/>
  <c r="U1671" i="20"/>
  <c r="U1670" i="20"/>
  <c r="U1669" i="20"/>
  <c r="U1668" i="20"/>
  <c r="U1667" i="20"/>
  <c r="U1666" i="20"/>
  <c r="U1665" i="20"/>
  <c r="U1664" i="20"/>
  <c r="U1663" i="20"/>
  <c r="U1662" i="20"/>
  <c r="U1661" i="20"/>
  <c r="U1660" i="20"/>
  <c r="U1659" i="20"/>
  <c r="U1658" i="20"/>
  <c r="U1657" i="20"/>
  <c r="U1656" i="20"/>
  <c r="U1655" i="20"/>
  <c r="U1654" i="20"/>
  <c r="U1653" i="20"/>
  <c r="U1652" i="20"/>
  <c r="U1651" i="20"/>
  <c r="U1650" i="20"/>
  <c r="U1649" i="20"/>
  <c r="U1648" i="20"/>
  <c r="U1647" i="20"/>
  <c r="U1646" i="20"/>
  <c r="U1645" i="20"/>
  <c r="U1644" i="20"/>
  <c r="U1643" i="20"/>
  <c r="U1642" i="20"/>
  <c r="U1641" i="20"/>
  <c r="U1640" i="20"/>
  <c r="U1639" i="20"/>
  <c r="U1638" i="20"/>
  <c r="U1637" i="20"/>
  <c r="U1636" i="20"/>
  <c r="U1635" i="20"/>
  <c r="U1634" i="20"/>
  <c r="U1633" i="20"/>
  <c r="U1632" i="20"/>
  <c r="U1631" i="20"/>
  <c r="U1630" i="20"/>
  <c r="U1629" i="20"/>
  <c r="U1628" i="20"/>
  <c r="U1627" i="20"/>
  <c r="U1626" i="20"/>
  <c r="U1625" i="20"/>
  <c r="U1624" i="20"/>
  <c r="U1623" i="20"/>
  <c r="U1622" i="20"/>
  <c r="U1621" i="20"/>
  <c r="U1620" i="20"/>
  <c r="U1619" i="20"/>
  <c r="U1618" i="20"/>
  <c r="U1617" i="20"/>
  <c r="U1616" i="20"/>
  <c r="U1615" i="20"/>
  <c r="U1614" i="20"/>
  <c r="U1613" i="20"/>
  <c r="U1612" i="20"/>
  <c r="U1611" i="20"/>
  <c r="U1610" i="20"/>
  <c r="U1609" i="20"/>
  <c r="U1608" i="20"/>
  <c r="U1607" i="20"/>
  <c r="U1606" i="20"/>
  <c r="U1605" i="20"/>
  <c r="U1604" i="20"/>
  <c r="U1603" i="20"/>
  <c r="U1602" i="20"/>
  <c r="U1601" i="20"/>
  <c r="U1600" i="20"/>
  <c r="U1599" i="20"/>
  <c r="U1598" i="20"/>
  <c r="U1597" i="20"/>
  <c r="U1596" i="20"/>
  <c r="U1595" i="20"/>
  <c r="U1594" i="20"/>
  <c r="U1593" i="20"/>
  <c r="U1592" i="20"/>
  <c r="U1591" i="20"/>
  <c r="U1590" i="20"/>
  <c r="U1589" i="20"/>
  <c r="U1588" i="20"/>
  <c r="U1587" i="20"/>
  <c r="U1586" i="20"/>
  <c r="U1585" i="20"/>
  <c r="U1584" i="20"/>
  <c r="U1583" i="20"/>
  <c r="U1582" i="20"/>
  <c r="U1581" i="20"/>
  <c r="U1580" i="20"/>
  <c r="U1579" i="20"/>
  <c r="U1578" i="20"/>
  <c r="U1577" i="20"/>
  <c r="U1576" i="20"/>
  <c r="U1575" i="20"/>
  <c r="U1574" i="20"/>
  <c r="U1573" i="20"/>
  <c r="U1572" i="20"/>
  <c r="U1571" i="20"/>
  <c r="U1570" i="20"/>
  <c r="U1569" i="20"/>
  <c r="U1568" i="20"/>
  <c r="U1567" i="20"/>
  <c r="U1566" i="20"/>
  <c r="U1565" i="20"/>
  <c r="U1564" i="20"/>
  <c r="U1563" i="20"/>
  <c r="U1562" i="20"/>
  <c r="U1561" i="20"/>
  <c r="U1560" i="20"/>
  <c r="U1559" i="20"/>
  <c r="U1558" i="20"/>
  <c r="U1557" i="20"/>
  <c r="U1556" i="20"/>
  <c r="U1555" i="20"/>
  <c r="U1554" i="20"/>
  <c r="U1553" i="20"/>
  <c r="U1552" i="20"/>
  <c r="U1551" i="20"/>
  <c r="U1550" i="20"/>
  <c r="U1549" i="20"/>
  <c r="U1548" i="20"/>
  <c r="U1547" i="20"/>
  <c r="U1546" i="20"/>
  <c r="U1545" i="20"/>
  <c r="U1544" i="20"/>
  <c r="U1543" i="20"/>
  <c r="U1542" i="20"/>
  <c r="U1541" i="20"/>
  <c r="U1540" i="20"/>
  <c r="U1539" i="20"/>
  <c r="U1538" i="20"/>
  <c r="U1537" i="20"/>
  <c r="U1536" i="20"/>
  <c r="U1535" i="20"/>
  <c r="U1534" i="20"/>
  <c r="U1533" i="20"/>
  <c r="U1532" i="20"/>
  <c r="U1531" i="20"/>
  <c r="U1530" i="20"/>
  <c r="U1529" i="20"/>
  <c r="U1528" i="20"/>
  <c r="U1527" i="20"/>
  <c r="U1526" i="20"/>
  <c r="U1525" i="20"/>
  <c r="U1524" i="20"/>
  <c r="U1523" i="20"/>
  <c r="U1522" i="20"/>
  <c r="U1521" i="20"/>
  <c r="U1520" i="20"/>
  <c r="U1519" i="20"/>
  <c r="U1518" i="20"/>
  <c r="U1517" i="20"/>
  <c r="U1516" i="20"/>
  <c r="U1515" i="20"/>
  <c r="U1514" i="20"/>
  <c r="U1513" i="20"/>
  <c r="U1512" i="20"/>
  <c r="U1511" i="20"/>
  <c r="U1510" i="20"/>
  <c r="U1509" i="20"/>
  <c r="U1508" i="20"/>
  <c r="U1507" i="20"/>
  <c r="U1506" i="20"/>
  <c r="U1505" i="20"/>
  <c r="U1504" i="20"/>
  <c r="U1503" i="20"/>
  <c r="U1502" i="20"/>
  <c r="U1501" i="20"/>
  <c r="U1500" i="20"/>
  <c r="U1499" i="20"/>
  <c r="U1498" i="20"/>
  <c r="U1497" i="20"/>
  <c r="U1496" i="20"/>
  <c r="U1495" i="20"/>
  <c r="U1494" i="20"/>
  <c r="U1493" i="20"/>
  <c r="U1492" i="20"/>
  <c r="U1491" i="20"/>
  <c r="U1490" i="20"/>
  <c r="U1489" i="20"/>
  <c r="U1488" i="20"/>
  <c r="U1487" i="20"/>
  <c r="U1486" i="20"/>
  <c r="U1485" i="20"/>
  <c r="U1484" i="20"/>
  <c r="U1483" i="20"/>
  <c r="U1482" i="20"/>
  <c r="U1481" i="20"/>
  <c r="U1480" i="20"/>
  <c r="U1479" i="20"/>
  <c r="U1478" i="20"/>
  <c r="U1477" i="20"/>
  <c r="U1476" i="20"/>
  <c r="U1475" i="20"/>
  <c r="U1474" i="20"/>
  <c r="U1473" i="20"/>
  <c r="U1472" i="20"/>
  <c r="U1471" i="20"/>
  <c r="U1470" i="20"/>
  <c r="U1469" i="20"/>
  <c r="U1468" i="20"/>
  <c r="U1467" i="20"/>
  <c r="U1466" i="20"/>
  <c r="U1465" i="20"/>
  <c r="U1464" i="20"/>
  <c r="U1463" i="20"/>
  <c r="U1462" i="20"/>
  <c r="U1461" i="20"/>
  <c r="U1460" i="20"/>
  <c r="U1459" i="20"/>
  <c r="U1458" i="20"/>
  <c r="U1457" i="20"/>
  <c r="U1456" i="20"/>
  <c r="U1455" i="20"/>
  <c r="U1454" i="20"/>
  <c r="U1453" i="20"/>
  <c r="U1452" i="20"/>
  <c r="U1451" i="20"/>
  <c r="U1450" i="20"/>
  <c r="U1449" i="20"/>
  <c r="U1448" i="20"/>
  <c r="U1447" i="20"/>
  <c r="U1446" i="20"/>
  <c r="U1445" i="20"/>
  <c r="U1444" i="20"/>
  <c r="U1443" i="20"/>
  <c r="U1442" i="20"/>
  <c r="U1441" i="20"/>
  <c r="U1440" i="20"/>
  <c r="U1439" i="20"/>
  <c r="U1438" i="20"/>
  <c r="U1437" i="20"/>
  <c r="U1436" i="20"/>
  <c r="U1435" i="20"/>
  <c r="U1434" i="20"/>
  <c r="U1433" i="20"/>
  <c r="U1432" i="20"/>
  <c r="U1431" i="20"/>
  <c r="U1430" i="20"/>
  <c r="U1429" i="20"/>
  <c r="U1428" i="20"/>
  <c r="U1427" i="20"/>
  <c r="U1426" i="20"/>
  <c r="U1425" i="20"/>
  <c r="U1424" i="20"/>
  <c r="U1423" i="20"/>
  <c r="U1422" i="20"/>
  <c r="U1421" i="20"/>
  <c r="U1420" i="20"/>
  <c r="U1419" i="20"/>
  <c r="U1418" i="20"/>
  <c r="U1417" i="20"/>
  <c r="U1416" i="20"/>
  <c r="U1415" i="20"/>
  <c r="U1414" i="20"/>
  <c r="U1413" i="20"/>
  <c r="U1412" i="20"/>
  <c r="U1411" i="20"/>
  <c r="U1410" i="20"/>
  <c r="U1409" i="20"/>
  <c r="U1408" i="20"/>
  <c r="U1407" i="20"/>
  <c r="U1406" i="20"/>
  <c r="U1405" i="20"/>
  <c r="U1404" i="20"/>
  <c r="U1403" i="20"/>
  <c r="U1402" i="20"/>
  <c r="U1401" i="20"/>
  <c r="U1400" i="20"/>
  <c r="U1399" i="20"/>
  <c r="U1398" i="20"/>
  <c r="U1397" i="20"/>
  <c r="U1396" i="20"/>
  <c r="U1395" i="20"/>
  <c r="U1394" i="20"/>
  <c r="U1393" i="20"/>
  <c r="U1392" i="20"/>
  <c r="U1391" i="20"/>
  <c r="U1390" i="20"/>
  <c r="U1389" i="20"/>
  <c r="U1388" i="20"/>
  <c r="U1387" i="20"/>
  <c r="U1386" i="20"/>
  <c r="U1385" i="20"/>
  <c r="U1384" i="20"/>
  <c r="U1383" i="20"/>
  <c r="U1382" i="20"/>
  <c r="U1381" i="20"/>
  <c r="U1380" i="20"/>
  <c r="U1379" i="20"/>
  <c r="U1378" i="20"/>
  <c r="U1377" i="20"/>
  <c r="U1376" i="20"/>
  <c r="U1375" i="20"/>
  <c r="U1374" i="20"/>
  <c r="U1373" i="20"/>
  <c r="U1372" i="20"/>
  <c r="U1371" i="20"/>
  <c r="U1370" i="20"/>
  <c r="U1369" i="20"/>
  <c r="U1368" i="20"/>
  <c r="U1367" i="20"/>
  <c r="U1366" i="20"/>
  <c r="U1365" i="20"/>
  <c r="U1364" i="20"/>
  <c r="U1363" i="20"/>
  <c r="U1362" i="20"/>
  <c r="U1361" i="20"/>
  <c r="U1360" i="20"/>
  <c r="U1359" i="20"/>
  <c r="U1358" i="20"/>
  <c r="U1357" i="20"/>
  <c r="U1356" i="20"/>
  <c r="U1355" i="20"/>
  <c r="U1354" i="20"/>
  <c r="U1353" i="20"/>
  <c r="U1352" i="20"/>
  <c r="U1351" i="20"/>
  <c r="U1350" i="20"/>
  <c r="U1349" i="20"/>
  <c r="U1348" i="20"/>
  <c r="U1347" i="20"/>
  <c r="U1346" i="20"/>
  <c r="U1345" i="20"/>
  <c r="U1344" i="20"/>
  <c r="U1343" i="20"/>
  <c r="U1342" i="20"/>
  <c r="U1341" i="20"/>
  <c r="U1340" i="20"/>
  <c r="U1339" i="20"/>
  <c r="U1338" i="20"/>
  <c r="U1337" i="20"/>
  <c r="U1336" i="20"/>
  <c r="U1335" i="20"/>
  <c r="U1334" i="20"/>
  <c r="U1333" i="20"/>
  <c r="U1332" i="20"/>
  <c r="U1331" i="20"/>
  <c r="U1330" i="20"/>
  <c r="U1329" i="20"/>
  <c r="U1328" i="20"/>
  <c r="U1327" i="20"/>
  <c r="U1326" i="20"/>
  <c r="U1325" i="20"/>
  <c r="U1324" i="20"/>
  <c r="U1323" i="20"/>
  <c r="U1322" i="20"/>
  <c r="U1321" i="20"/>
  <c r="U1320" i="20"/>
  <c r="U1319" i="20"/>
  <c r="U1318" i="20"/>
  <c r="U1317" i="20"/>
  <c r="U1316" i="20"/>
  <c r="U1315" i="20"/>
  <c r="U1314" i="20"/>
  <c r="U1313" i="20"/>
  <c r="U1312" i="20"/>
  <c r="U1311" i="20"/>
  <c r="U1310" i="20"/>
  <c r="U1309" i="20"/>
  <c r="U1308" i="20"/>
  <c r="U1307" i="20"/>
  <c r="U1306" i="20"/>
  <c r="U1305" i="20"/>
  <c r="U1304" i="20"/>
  <c r="U1303" i="20"/>
  <c r="U1302" i="20"/>
  <c r="U1301" i="20"/>
  <c r="U1300" i="20"/>
  <c r="U1299" i="20"/>
  <c r="U1298" i="20"/>
  <c r="U1297" i="20"/>
  <c r="U1296" i="20"/>
  <c r="U1295" i="20"/>
  <c r="U1294" i="20"/>
  <c r="U1293" i="20"/>
  <c r="U1292" i="20"/>
  <c r="U1291" i="20"/>
  <c r="U1290" i="20"/>
  <c r="U1289" i="20"/>
  <c r="U1288" i="20"/>
  <c r="U1287" i="20"/>
  <c r="U1286" i="20"/>
  <c r="U1285" i="20"/>
  <c r="U1284" i="20"/>
  <c r="U1283" i="20"/>
  <c r="U1282" i="20"/>
  <c r="U1281" i="20"/>
  <c r="U1280" i="20"/>
  <c r="U1279" i="20"/>
  <c r="U1278" i="20"/>
  <c r="U1277" i="20"/>
  <c r="U1276" i="20"/>
  <c r="U1275" i="20"/>
  <c r="U1274" i="20"/>
  <c r="U1273" i="20"/>
  <c r="U1272" i="20"/>
  <c r="U1271" i="20"/>
  <c r="U1270" i="20"/>
  <c r="U1269" i="20"/>
  <c r="U1268" i="20"/>
  <c r="U1267" i="20"/>
  <c r="U1266" i="20"/>
  <c r="U1265" i="20"/>
  <c r="U1264" i="20"/>
  <c r="U1263" i="20"/>
  <c r="U1262" i="20"/>
  <c r="U1261" i="20"/>
  <c r="U1260" i="20"/>
  <c r="U1259" i="20"/>
  <c r="U1258" i="20"/>
  <c r="U1257" i="20"/>
  <c r="U1256" i="20"/>
  <c r="U1255" i="20"/>
  <c r="U1254" i="20"/>
  <c r="U1253" i="20"/>
  <c r="U1252" i="20"/>
  <c r="U1251" i="20"/>
  <c r="U1250" i="20"/>
  <c r="U1249" i="20"/>
  <c r="U1248" i="20"/>
  <c r="U1247" i="20"/>
  <c r="U1246" i="20"/>
  <c r="U1245" i="20"/>
  <c r="U1244" i="20"/>
  <c r="U1243" i="20"/>
  <c r="U1242" i="20"/>
  <c r="U1241" i="20"/>
  <c r="U1240" i="20"/>
  <c r="U1239" i="20"/>
  <c r="U1238" i="20"/>
  <c r="U1237" i="20"/>
  <c r="U1236" i="20"/>
  <c r="U1235" i="20"/>
  <c r="U1234" i="20"/>
  <c r="U1233" i="20"/>
  <c r="U1232" i="20"/>
  <c r="U1231" i="20"/>
  <c r="U1230" i="20"/>
  <c r="U1229" i="20"/>
  <c r="U1228" i="20"/>
  <c r="U1227" i="20"/>
  <c r="U1226" i="20"/>
  <c r="U1225" i="20"/>
  <c r="U1224" i="20"/>
  <c r="U1223" i="20"/>
  <c r="U1222" i="20"/>
  <c r="U1221" i="20"/>
  <c r="U1220" i="20"/>
  <c r="U1219" i="20"/>
  <c r="U1218" i="20"/>
  <c r="U1217" i="20"/>
  <c r="U1216" i="20"/>
  <c r="U1215" i="20"/>
  <c r="U1214" i="20"/>
  <c r="U1213" i="20"/>
  <c r="U1212" i="20"/>
  <c r="U1211" i="20"/>
  <c r="U1210" i="20"/>
  <c r="U1209" i="20"/>
  <c r="U1208" i="20"/>
  <c r="U1207" i="20"/>
  <c r="U1206" i="20"/>
  <c r="U1205" i="20"/>
  <c r="U1204" i="20"/>
  <c r="U1203" i="20"/>
  <c r="U1202" i="20"/>
  <c r="U1201" i="20"/>
  <c r="U1200" i="20"/>
  <c r="U1199" i="20"/>
  <c r="U1198" i="20"/>
  <c r="U1197" i="20"/>
  <c r="U1196" i="20"/>
  <c r="U1195" i="20"/>
  <c r="U1194" i="20"/>
  <c r="U1193" i="20"/>
  <c r="U1192" i="20"/>
  <c r="U1191" i="20"/>
  <c r="U1190" i="20"/>
  <c r="U1189" i="20"/>
  <c r="U1188" i="20"/>
  <c r="U1187" i="20"/>
  <c r="U1186" i="20"/>
  <c r="U1185" i="20"/>
  <c r="U1184" i="20"/>
  <c r="U1183" i="20"/>
  <c r="U1182" i="20"/>
  <c r="U1181" i="20"/>
  <c r="U1180" i="20"/>
  <c r="U1179" i="20"/>
  <c r="U1178" i="20"/>
  <c r="U1177" i="20"/>
  <c r="U1176" i="20"/>
  <c r="U1175" i="20"/>
  <c r="U1174" i="20"/>
  <c r="U1173" i="20"/>
  <c r="U1172" i="20"/>
  <c r="U1171" i="20"/>
  <c r="U1170" i="20"/>
  <c r="U1169" i="20"/>
  <c r="U1168" i="20"/>
  <c r="U1167" i="20"/>
  <c r="U1166" i="20"/>
  <c r="U1165" i="20"/>
  <c r="U1164" i="20"/>
  <c r="U1163" i="20"/>
  <c r="U1162" i="20"/>
  <c r="U1161" i="20"/>
  <c r="U1160" i="20"/>
  <c r="U1159" i="20"/>
  <c r="U1158" i="20"/>
  <c r="U1157" i="20"/>
  <c r="U1156" i="20"/>
  <c r="U1155" i="20"/>
  <c r="U1154" i="20"/>
  <c r="U1153" i="20"/>
  <c r="U1152" i="20"/>
  <c r="U1151" i="20"/>
  <c r="U1150" i="20"/>
  <c r="U1149" i="20"/>
  <c r="U1148" i="20"/>
  <c r="U1147" i="20"/>
  <c r="U1146" i="20"/>
  <c r="U1145" i="20"/>
  <c r="U1144" i="20"/>
  <c r="U1143" i="20"/>
  <c r="U1142" i="20"/>
  <c r="U1141" i="20"/>
  <c r="U1140" i="20"/>
  <c r="U1139" i="20"/>
  <c r="U1138" i="20"/>
  <c r="U1137" i="20"/>
  <c r="U1136" i="20"/>
  <c r="U1135" i="20"/>
  <c r="U1134" i="20"/>
  <c r="U1133" i="20"/>
  <c r="U1132" i="20"/>
  <c r="U1131" i="20"/>
  <c r="U1130" i="20"/>
  <c r="U1129" i="20"/>
  <c r="U1128" i="20"/>
  <c r="U1127" i="20"/>
  <c r="U1126" i="20"/>
  <c r="U1125" i="20"/>
  <c r="U1124" i="20"/>
  <c r="U1123" i="20"/>
  <c r="U1122" i="20"/>
  <c r="U1121" i="20"/>
  <c r="U1120" i="20"/>
  <c r="U1119" i="20"/>
  <c r="U1118" i="20"/>
  <c r="U1117" i="20"/>
  <c r="U1116" i="20"/>
  <c r="U1115" i="20"/>
  <c r="U1114" i="20"/>
  <c r="U1113" i="20"/>
  <c r="U1112" i="20"/>
  <c r="U1111" i="20"/>
  <c r="U1110" i="20"/>
  <c r="U1109" i="20"/>
  <c r="U1108" i="20"/>
  <c r="U1107" i="20"/>
  <c r="U1106" i="20"/>
  <c r="U1105" i="20"/>
  <c r="U1104" i="20"/>
  <c r="U1103" i="20"/>
  <c r="U1102" i="20"/>
  <c r="U1101" i="20"/>
  <c r="U1100" i="20"/>
  <c r="U1099" i="20"/>
  <c r="U1098" i="20"/>
  <c r="U1097" i="20"/>
  <c r="U1096" i="20"/>
  <c r="U1095" i="20"/>
  <c r="U1094" i="20"/>
  <c r="U1093" i="20"/>
  <c r="U1092" i="20"/>
  <c r="U1091" i="20"/>
  <c r="U1090" i="20"/>
  <c r="U1089" i="20"/>
  <c r="U1088" i="20"/>
  <c r="U1087" i="20"/>
  <c r="U1086" i="20"/>
  <c r="U1085" i="20"/>
  <c r="U1084" i="20"/>
  <c r="U1083" i="20"/>
  <c r="U1082" i="20"/>
  <c r="U1081" i="20"/>
  <c r="U1080" i="20"/>
  <c r="U1079" i="20"/>
  <c r="U1078" i="20"/>
  <c r="U1077" i="20"/>
  <c r="U1076" i="20"/>
  <c r="U1075" i="20"/>
  <c r="U1074" i="20"/>
  <c r="U1073" i="20"/>
  <c r="U1072" i="20"/>
  <c r="U1071" i="20"/>
  <c r="U1070" i="20"/>
  <c r="U1069" i="20"/>
  <c r="U1068" i="20"/>
  <c r="U1067" i="20"/>
  <c r="U1066" i="20"/>
  <c r="U1065" i="20"/>
  <c r="U1064" i="20"/>
  <c r="U1063" i="20"/>
  <c r="U1062" i="20"/>
  <c r="U1061" i="20"/>
  <c r="U1060" i="20"/>
  <c r="U1059" i="20"/>
  <c r="U1058" i="20"/>
  <c r="U1057" i="20"/>
  <c r="U1056" i="20"/>
  <c r="U1055" i="20"/>
  <c r="U1054" i="20"/>
  <c r="U1053" i="20"/>
  <c r="U1052" i="20"/>
  <c r="U1051" i="20"/>
  <c r="U1050" i="20"/>
  <c r="U1049" i="20"/>
  <c r="U1048" i="20"/>
  <c r="U1047" i="20"/>
  <c r="U1046" i="20"/>
  <c r="U1045" i="20"/>
  <c r="U1044" i="20"/>
  <c r="U1043" i="20"/>
  <c r="U1042" i="20"/>
  <c r="U1041" i="20"/>
  <c r="U1040" i="20"/>
  <c r="U1039" i="20"/>
  <c r="U1038" i="20"/>
  <c r="U1037" i="20"/>
  <c r="U1036" i="20"/>
  <c r="U1035" i="20"/>
  <c r="U1034" i="20"/>
  <c r="U1033" i="20"/>
  <c r="U1032" i="20"/>
  <c r="U1031" i="20"/>
  <c r="U1030" i="20"/>
  <c r="U1029" i="20"/>
  <c r="U1028" i="20"/>
  <c r="U1027" i="20"/>
  <c r="U1026" i="20"/>
  <c r="U1025" i="20"/>
  <c r="U1024" i="20"/>
  <c r="U1023" i="20"/>
  <c r="U1022" i="20"/>
  <c r="U1021" i="20"/>
  <c r="U1020" i="20"/>
  <c r="U1019" i="20"/>
  <c r="U1018" i="20"/>
  <c r="U1017" i="20"/>
  <c r="U1016" i="20"/>
  <c r="U1015" i="20"/>
  <c r="U1014" i="20"/>
  <c r="U1013" i="20"/>
  <c r="U1012" i="20"/>
  <c r="U1011" i="20"/>
  <c r="U1010" i="20"/>
  <c r="U1009" i="20"/>
  <c r="U1008" i="20"/>
  <c r="U1007" i="20"/>
  <c r="U1006" i="20"/>
  <c r="U1005" i="20"/>
  <c r="U1004" i="20"/>
  <c r="U1003" i="20"/>
  <c r="U1002" i="20"/>
  <c r="U1001" i="20"/>
  <c r="U1000" i="20"/>
  <c r="U999" i="20"/>
  <c r="U998" i="20"/>
  <c r="U997" i="20"/>
  <c r="U996" i="20"/>
  <c r="U995" i="20"/>
  <c r="U994" i="20"/>
  <c r="U993" i="20"/>
  <c r="U992" i="20"/>
  <c r="U991" i="20"/>
  <c r="U990" i="20"/>
  <c r="U989" i="20"/>
  <c r="U988" i="20"/>
  <c r="U987" i="20"/>
  <c r="U986" i="20"/>
  <c r="U985" i="20"/>
  <c r="U984" i="20"/>
  <c r="U983" i="20"/>
  <c r="U982" i="20"/>
  <c r="U981" i="20"/>
  <c r="U980" i="20"/>
  <c r="U979" i="20"/>
  <c r="U978" i="20"/>
  <c r="U977" i="20"/>
  <c r="U976" i="20"/>
  <c r="U975" i="20"/>
  <c r="U974" i="20"/>
  <c r="U973" i="20"/>
  <c r="U972" i="20"/>
  <c r="U971" i="20"/>
  <c r="U970" i="20"/>
  <c r="U969" i="20"/>
  <c r="U968" i="20"/>
  <c r="U967" i="20"/>
  <c r="U966" i="20"/>
  <c r="U965" i="20"/>
  <c r="U964" i="20"/>
  <c r="U963" i="20"/>
  <c r="U962" i="20"/>
  <c r="U961" i="20"/>
  <c r="U960" i="20"/>
  <c r="U959" i="20"/>
  <c r="U958" i="20"/>
  <c r="U957" i="20"/>
  <c r="U956" i="20"/>
  <c r="U955" i="20"/>
  <c r="U954" i="20"/>
  <c r="U953" i="20"/>
  <c r="U952" i="20"/>
  <c r="U951" i="20"/>
  <c r="U950" i="20"/>
  <c r="U949" i="20"/>
  <c r="U948" i="20"/>
  <c r="U947" i="20"/>
  <c r="U946" i="20"/>
  <c r="U945" i="20"/>
  <c r="U944" i="20"/>
  <c r="U943" i="20"/>
  <c r="U942" i="20"/>
  <c r="U941" i="20"/>
  <c r="U940" i="20"/>
  <c r="U939" i="20"/>
  <c r="U938" i="20"/>
  <c r="U937" i="20"/>
  <c r="U936" i="20"/>
  <c r="U935" i="20"/>
  <c r="U934" i="20"/>
  <c r="U933" i="20"/>
  <c r="U932" i="20"/>
  <c r="U931" i="20"/>
  <c r="U930" i="20"/>
  <c r="U929" i="20"/>
  <c r="U928" i="20"/>
  <c r="U927" i="20"/>
  <c r="U926" i="20"/>
  <c r="U925" i="20"/>
  <c r="U924" i="20"/>
  <c r="U923" i="20"/>
  <c r="U922" i="20"/>
  <c r="U921" i="20"/>
  <c r="U920" i="20"/>
  <c r="U919" i="20"/>
  <c r="U918" i="20"/>
  <c r="U917" i="20"/>
  <c r="U916" i="20"/>
  <c r="U915" i="20"/>
  <c r="U914" i="20"/>
  <c r="U913" i="20"/>
  <c r="U912" i="20"/>
  <c r="U911" i="20"/>
  <c r="U910" i="20"/>
  <c r="U909" i="20"/>
  <c r="U908" i="20"/>
  <c r="U907" i="20"/>
  <c r="U906" i="20"/>
  <c r="U905" i="20"/>
  <c r="U904" i="20"/>
  <c r="U903" i="20"/>
  <c r="U902" i="20"/>
  <c r="U901" i="20"/>
  <c r="U900" i="20"/>
  <c r="U899" i="20"/>
  <c r="U898" i="20"/>
  <c r="U897" i="20"/>
  <c r="U896" i="20"/>
  <c r="U895" i="20"/>
  <c r="U894" i="20"/>
  <c r="U893" i="20"/>
  <c r="U892" i="20"/>
  <c r="U891" i="20"/>
  <c r="U890" i="20"/>
  <c r="U889" i="20"/>
  <c r="U888" i="20"/>
  <c r="U887" i="20"/>
  <c r="U886" i="20"/>
  <c r="U885" i="20"/>
  <c r="U884" i="20"/>
  <c r="U883" i="20"/>
  <c r="U882" i="20"/>
  <c r="U881" i="20"/>
  <c r="U880" i="20"/>
  <c r="U879" i="20"/>
  <c r="U878" i="20"/>
  <c r="U877" i="20"/>
  <c r="U876" i="20"/>
  <c r="U875" i="20"/>
  <c r="U874" i="20"/>
  <c r="U873" i="20"/>
  <c r="U872" i="20"/>
  <c r="U871" i="20"/>
  <c r="U870" i="20"/>
  <c r="U869" i="20"/>
  <c r="U868" i="20"/>
  <c r="U867" i="20"/>
  <c r="U866" i="20"/>
  <c r="U865" i="20"/>
  <c r="U864" i="20"/>
  <c r="U863" i="20"/>
  <c r="U862" i="20"/>
  <c r="U861" i="20"/>
  <c r="U860" i="20"/>
  <c r="U859" i="20"/>
  <c r="U858" i="20"/>
  <c r="U857" i="20"/>
  <c r="U856" i="20"/>
  <c r="U855" i="20"/>
  <c r="U854" i="20"/>
  <c r="U853" i="20"/>
  <c r="U852" i="20"/>
  <c r="U851" i="20"/>
  <c r="U850" i="20"/>
  <c r="U849" i="20"/>
  <c r="U848" i="20"/>
  <c r="U847" i="20"/>
  <c r="U846" i="20"/>
  <c r="U845" i="20"/>
  <c r="U844" i="20"/>
  <c r="U843" i="20"/>
  <c r="U842" i="20"/>
  <c r="U841" i="20"/>
  <c r="U840" i="20"/>
  <c r="U839" i="20"/>
  <c r="U838" i="20"/>
  <c r="U837" i="20"/>
  <c r="U836" i="20"/>
  <c r="U835" i="20"/>
  <c r="U834" i="20"/>
  <c r="U833" i="20"/>
  <c r="U832" i="20"/>
  <c r="U831" i="20"/>
  <c r="U830" i="20"/>
  <c r="U829" i="20"/>
  <c r="U828" i="20"/>
  <c r="U827" i="20"/>
  <c r="U826" i="20"/>
  <c r="U825" i="20"/>
  <c r="U824" i="20"/>
  <c r="U823" i="20"/>
  <c r="U822" i="20"/>
  <c r="U821" i="20"/>
  <c r="U820" i="20"/>
  <c r="U819" i="20"/>
  <c r="U818" i="20"/>
  <c r="U817" i="20"/>
  <c r="U816" i="20"/>
  <c r="U815" i="20"/>
  <c r="U814" i="20"/>
  <c r="U813" i="20"/>
  <c r="U812" i="20"/>
  <c r="U811" i="20"/>
  <c r="U810" i="20"/>
  <c r="U809" i="20"/>
  <c r="U808" i="20"/>
  <c r="U807" i="20"/>
  <c r="U806" i="20"/>
  <c r="U805" i="20"/>
  <c r="U804" i="20"/>
  <c r="U803" i="20"/>
  <c r="U802" i="20"/>
  <c r="U801" i="20"/>
  <c r="U800" i="20"/>
  <c r="U799" i="20"/>
  <c r="U798" i="20"/>
  <c r="U797" i="20"/>
  <c r="U796" i="20"/>
  <c r="U795" i="20"/>
  <c r="U794" i="20"/>
  <c r="U793" i="20"/>
  <c r="U792" i="20"/>
  <c r="U791" i="20"/>
  <c r="U790" i="20"/>
  <c r="U789" i="20"/>
  <c r="U788" i="20"/>
  <c r="U787" i="20"/>
  <c r="U786" i="20"/>
  <c r="U785" i="20"/>
  <c r="U784" i="20"/>
  <c r="U783" i="20"/>
  <c r="U782" i="20"/>
  <c r="U781" i="20"/>
  <c r="U780" i="20"/>
  <c r="U779" i="20"/>
  <c r="U778" i="20"/>
  <c r="U777" i="20"/>
  <c r="U776" i="20"/>
  <c r="U775" i="20"/>
  <c r="U774" i="20"/>
  <c r="U773" i="20"/>
  <c r="U772" i="20"/>
  <c r="U771" i="20"/>
  <c r="U770" i="20"/>
  <c r="U769" i="20"/>
  <c r="U768" i="20"/>
  <c r="U767" i="20"/>
  <c r="U766" i="20"/>
  <c r="U765" i="20"/>
  <c r="U764" i="20"/>
  <c r="U763" i="20"/>
  <c r="U762" i="20"/>
  <c r="U761" i="20"/>
  <c r="U760" i="20"/>
  <c r="U759" i="20"/>
  <c r="U758" i="20"/>
  <c r="U757" i="20"/>
  <c r="U756" i="20"/>
  <c r="U755" i="20"/>
  <c r="U754" i="20"/>
  <c r="U753" i="20"/>
  <c r="U752" i="20"/>
  <c r="U751" i="20"/>
  <c r="U750" i="20"/>
  <c r="U749" i="20"/>
  <c r="U748" i="20"/>
  <c r="U747" i="20"/>
  <c r="U746" i="20"/>
  <c r="U745" i="20"/>
  <c r="U744" i="20"/>
  <c r="U743" i="20"/>
  <c r="U742" i="20"/>
  <c r="U741" i="20"/>
  <c r="U740" i="20"/>
  <c r="U739" i="20"/>
  <c r="U738" i="20"/>
  <c r="U737" i="20"/>
  <c r="U736" i="20"/>
  <c r="U735" i="20"/>
  <c r="U734" i="20"/>
  <c r="U733" i="20"/>
  <c r="U732" i="20"/>
  <c r="U731" i="20"/>
  <c r="U730" i="20"/>
  <c r="U729" i="20"/>
  <c r="U728" i="20"/>
  <c r="U727" i="20"/>
  <c r="U726" i="20"/>
  <c r="U725" i="20"/>
  <c r="U724" i="20"/>
  <c r="U723" i="20"/>
  <c r="U722" i="20"/>
  <c r="U721" i="20"/>
  <c r="U720" i="20"/>
  <c r="U719" i="20"/>
  <c r="U718" i="20"/>
  <c r="U717" i="20"/>
  <c r="U716" i="20"/>
  <c r="U715" i="20"/>
  <c r="U714" i="20"/>
  <c r="U713" i="20"/>
  <c r="U712" i="20"/>
  <c r="U711" i="20"/>
  <c r="U710" i="20"/>
  <c r="U709" i="20"/>
  <c r="U708" i="20"/>
  <c r="U707" i="20"/>
  <c r="U706" i="20"/>
  <c r="U705" i="20"/>
  <c r="U704" i="20"/>
  <c r="U703" i="20"/>
  <c r="U702" i="20"/>
  <c r="U701" i="20"/>
  <c r="U700" i="20"/>
  <c r="U699" i="20"/>
  <c r="U698" i="20"/>
  <c r="U697" i="20"/>
  <c r="U696" i="20"/>
  <c r="U695" i="20"/>
  <c r="U694" i="20"/>
  <c r="U693" i="20"/>
  <c r="U692" i="20"/>
  <c r="U691" i="20"/>
  <c r="U690" i="20"/>
  <c r="U689" i="20"/>
  <c r="U688" i="20"/>
  <c r="U687" i="20"/>
  <c r="U686" i="20"/>
  <c r="U685" i="20"/>
  <c r="U684" i="20"/>
  <c r="U683" i="20"/>
  <c r="U682" i="20"/>
  <c r="U681" i="20"/>
  <c r="U680" i="20"/>
  <c r="U679" i="20"/>
  <c r="U678" i="20"/>
  <c r="U677" i="20"/>
  <c r="U676" i="20"/>
  <c r="U675" i="20"/>
  <c r="U674" i="20"/>
  <c r="U673" i="20"/>
  <c r="U672" i="20"/>
  <c r="U671" i="20"/>
  <c r="U670" i="20"/>
  <c r="U669" i="20"/>
  <c r="U668" i="20"/>
  <c r="U667" i="20"/>
  <c r="U666" i="20"/>
  <c r="U665" i="20"/>
  <c r="U664" i="20"/>
  <c r="U663" i="20"/>
  <c r="U662" i="20"/>
  <c r="U661" i="20"/>
  <c r="U660" i="20"/>
  <c r="U659" i="20"/>
  <c r="U658" i="20"/>
  <c r="U657" i="20"/>
  <c r="U656" i="20"/>
  <c r="U655" i="20"/>
  <c r="U654" i="20"/>
  <c r="U653" i="20"/>
  <c r="U652" i="20"/>
  <c r="U651" i="20"/>
  <c r="U650" i="20"/>
  <c r="U649" i="20"/>
  <c r="U648" i="20"/>
  <c r="U647" i="20"/>
  <c r="U646" i="20"/>
  <c r="U645" i="20"/>
  <c r="U644" i="20"/>
  <c r="U643" i="20"/>
  <c r="U642" i="20"/>
  <c r="U641" i="20"/>
  <c r="U640" i="20"/>
  <c r="U639" i="20"/>
  <c r="U638" i="20"/>
  <c r="U637" i="20"/>
  <c r="U636" i="20"/>
  <c r="U635" i="20"/>
  <c r="U634" i="20"/>
  <c r="U633" i="20"/>
  <c r="U632" i="20"/>
  <c r="U631" i="20"/>
  <c r="U630" i="20"/>
  <c r="U629" i="20"/>
  <c r="U628" i="20"/>
  <c r="U627" i="20"/>
  <c r="U626" i="20"/>
  <c r="U625" i="20"/>
  <c r="U624" i="20"/>
  <c r="U623" i="20"/>
  <c r="U622" i="20"/>
  <c r="U621" i="20"/>
  <c r="U620" i="20"/>
  <c r="U619" i="20"/>
  <c r="U618" i="20"/>
  <c r="U617" i="20"/>
  <c r="U616" i="20"/>
  <c r="U615" i="20"/>
  <c r="U614" i="20"/>
  <c r="U613" i="20"/>
  <c r="U612" i="20"/>
  <c r="U611" i="20"/>
  <c r="U610" i="20"/>
  <c r="U609" i="20"/>
  <c r="U608" i="20"/>
  <c r="U607" i="20"/>
  <c r="U606" i="20"/>
  <c r="U605" i="20"/>
  <c r="U604" i="20"/>
  <c r="U603" i="20"/>
  <c r="U602" i="20"/>
  <c r="U601" i="20"/>
  <c r="U600" i="20"/>
  <c r="U599" i="20"/>
  <c r="U598" i="20"/>
  <c r="U597" i="20"/>
  <c r="U596" i="20"/>
  <c r="U595" i="20"/>
  <c r="U594" i="20"/>
  <c r="U593" i="20"/>
  <c r="U592" i="20"/>
  <c r="U591" i="20"/>
  <c r="U590" i="20"/>
  <c r="U589" i="20"/>
  <c r="U588" i="20"/>
  <c r="U587" i="20"/>
  <c r="U586" i="20"/>
  <c r="U585" i="20"/>
  <c r="U584" i="20"/>
  <c r="U583" i="20"/>
  <c r="U582" i="20"/>
  <c r="U581" i="20"/>
  <c r="U580" i="20"/>
  <c r="U579" i="20"/>
  <c r="U578" i="20"/>
  <c r="U577" i="20"/>
  <c r="U576" i="20"/>
  <c r="U575" i="20"/>
  <c r="U574" i="20"/>
  <c r="U573" i="20"/>
  <c r="U572" i="20"/>
  <c r="U571" i="20"/>
  <c r="U570" i="20"/>
  <c r="U569" i="20"/>
  <c r="U568" i="20"/>
  <c r="U567" i="20"/>
  <c r="U566" i="20"/>
  <c r="U565" i="20"/>
  <c r="U564" i="20"/>
  <c r="U563" i="20"/>
  <c r="U562" i="20"/>
  <c r="U561" i="20"/>
  <c r="U560" i="20"/>
  <c r="U559" i="20"/>
  <c r="U558" i="20"/>
  <c r="U557" i="20"/>
  <c r="U556" i="20"/>
  <c r="U555" i="20"/>
  <c r="U554" i="20"/>
  <c r="U553" i="20"/>
  <c r="U552" i="20"/>
  <c r="U551" i="20"/>
  <c r="U550" i="20"/>
  <c r="U549" i="20"/>
  <c r="U548" i="20"/>
  <c r="U547" i="20"/>
  <c r="U546" i="20"/>
  <c r="U545" i="20"/>
  <c r="U544" i="20"/>
  <c r="U543" i="20"/>
  <c r="U542" i="20"/>
  <c r="U541" i="20"/>
  <c r="U540" i="20"/>
  <c r="U539" i="20"/>
  <c r="U538" i="20"/>
  <c r="U537" i="20"/>
  <c r="U536" i="20"/>
  <c r="U535" i="20"/>
  <c r="U534" i="20"/>
  <c r="U533" i="20"/>
  <c r="U532" i="20"/>
  <c r="U531" i="20"/>
  <c r="U530" i="20"/>
  <c r="U529" i="20"/>
  <c r="U528" i="20"/>
  <c r="U527" i="20"/>
  <c r="U526" i="20"/>
  <c r="U525" i="20"/>
  <c r="U524" i="20"/>
  <c r="U523" i="20"/>
  <c r="U522" i="20"/>
  <c r="U521" i="20"/>
  <c r="U520" i="20"/>
  <c r="U519" i="20"/>
  <c r="U518" i="20"/>
  <c r="U517" i="20"/>
  <c r="U516" i="20"/>
  <c r="U515" i="20"/>
  <c r="U514" i="20"/>
  <c r="U513" i="20"/>
  <c r="U512" i="20"/>
  <c r="U511" i="20"/>
  <c r="U510" i="20"/>
  <c r="U509" i="20"/>
  <c r="U508" i="20"/>
  <c r="U507" i="20"/>
  <c r="U506" i="20"/>
  <c r="U505" i="20"/>
  <c r="U504" i="20"/>
  <c r="U503" i="20"/>
  <c r="U502" i="20"/>
  <c r="U501" i="20"/>
  <c r="U500" i="20"/>
  <c r="U499" i="20"/>
  <c r="U498" i="20"/>
  <c r="U497" i="20"/>
  <c r="U496" i="20"/>
  <c r="U495" i="20"/>
  <c r="U494" i="20"/>
  <c r="U493" i="20"/>
  <c r="U492" i="20"/>
  <c r="U491" i="20"/>
  <c r="U490" i="20"/>
  <c r="U489" i="20"/>
  <c r="U488" i="20"/>
  <c r="U487" i="20"/>
  <c r="U486" i="20"/>
  <c r="U485" i="20"/>
  <c r="U484" i="20"/>
  <c r="U483" i="20"/>
  <c r="U482" i="20"/>
  <c r="U481" i="20"/>
  <c r="U480" i="20"/>
  <c r="U479" i="20"/>
  <c r="U478" i="20"/>
  <c r="U477" i="20"/>
  <c r="U476" i="20"/>
  <c r="U475" i="20"/>
  <c r="U474" i="20"/>
  <c r="U473" i="20"/>
  <c r="U472" i="20"/>
  <c r="U471" i="20"/>
  <c r="U470" i="20"/>
  <c r="U469" i="20"/>
  <c r="U468" i="20"/>
  <c r="U467" i="20"/>
  <c r="U466" i="20"/>
  <c r="U465" i="20"/>
  <c r="U464" i="20"/>
  <c r="U463" i="20"/>
  <c r="U462" i="20"/>
  <c r="U461" i="20"/>
  <c r="U460" i="20"/>
  <c r="U459" i="20"/>
  <c r="U458" i="20"/>
  <c r="U457" i="20"/>
  <c r="U456" i="20"/>
  <c r="U455" i="20"/>
  <c r="U454" i="20"/>
  <c r="U453" i="20"/>
  <c r="U452" i="20"/>
  <c r="U451" i="20"/>
  <c r="U450" i="20"/>
  <c r="U449" i="20"/>
  <c r="U448" i="20"/>
  <c r="U447" i="20"/>
  <c r="U446" i="20"/>
  <c r="U445" i="20"/>
  <c r="U444" i="20"/>
  <c r="U443" i="20"/>
  <c r="U442" i="20"/>
  <c r="U441" i="20"/>
  <c r="U440" i="20"/>
  <c r="U439" i="20"/>
  <c r="U438" i="20"/>
  <c r="U437" i="20"/>
  <c r="U436" i="20"/>
  <c r="U435" i="20"/>
  <c r="U434" i="20"/>
  <c r="U433" i="20"/>
  <c r="U432" i="20"/>
  <c r="U431" i="20"/>
  <c r="U430" i="20"/>
  <c r="U429" i="20"/>
  <c r="U428" i="20"/>
  <c r="U427" i="20"/>
  <c r="U426" i="20"/>
  <c r="U425" i="20"/>
  <c r="U424" i="20"/>
  <c r="U423" i="20"/>
  <c r="U422" i="20"/>
  <c r="U421" i="20"/>
  <c r="U420" i="20"/>
  <c r="U419" i="20"/>
  <c r="U418" i="20"/>
  <c r="U417" i="20"/>
  <c r="U416" i="20"/>
  <c r="U415" i="20"/>
  <c r="U414" i="20"/>
  <c r="U413" i="20"/>
  <c r="U412" i="20"/>
  <c r="U411" i="20"/>
  <c r="U410" i="20"/>
  <c r="U409" i="20"/>
  <c r="U408" i="20"/>
  <c r="U407" i="20"/>
  <c r="U406" i="20"/>
  <c r="U405" i="20"/>
  <c r="U404" i="20"/>
  <c r="U403" i="20"/>
  <c r="U402" i="20"/>
  <c r="U401" i="20"/>
  <c r="U400" i="20"/>
  <c r="U399" i="20"/>
  <c r="U398" i="20"/>
  <c r="U397" i="20"/>
  <c r="U396" i="20"/>
  <c r="U395" i="20"/>
  <c r="U394" i="20"/>
  <c r="U393" i="20"/>
  <c r="U392" i="20"/>
  <c r="U391" i="20"/>
  <c r="U390" i="20"/>
  <c r="U389" i="20"/>
  <c r="U388" i="20"/>
  <c r="U387" i="20"/>
  <c r="U386" i="20"/>
  <c r="U385" i="20"/>
  <c r="U384" i="20"/>
  <c r="U383" i="20"/>
  <c r="U382" i="20"/>
  <c r="U381" i="20"/>
  <c r="U380" i="20"/>
  <c r="U379" i="20"/>
  <c r="U378" i="20"/>
  <c r="U377" i="20"/>
  <c r="U376" i="20"/>
  <c r="U375" i="20"/>
  <c r="U374" i="20"/>
  <c r="U373" i="20"/>
  <c r="U372" i="20"/>
  <c r="U371" i="20"/>
  <c r="U370" i="20"/>
  <c r="U369" i="20"/>
  <c r="U368" i="20"/>
  <c r="U367" i="20"/>
  <c r="U366" i="20"/>
  <c r="U365" i="20"/>
  <c r="U364" i="20"/>
  <c r="U363" i="20"/>
  <c r="U362" i="20"/>
  <c r="U361" i="20"/>
  <c r="U360" i="20"/>
  <c r="U359" i="20"/>
  <c r="U358" i="20"/>
  <c r="U357" i="20"/>
  <c r="U356" i="20"/>
  <c r="U355" i="20"/>
  <c r="U354" i="20"/>
  <c r="U353" i="20"/>
  <c r="U352" i="20"/>
  <c r="U351" i="20"/>
  <c r="U350" i="20"/>
  <c r="U349" i="20"/>
  <c r="U348" i="20"/>
  <c r="U347" i="20"/>
  <c r="U346" i="20"/>
  <c r="U345" i="20"/>
  <c r="U344" i="20"/>
  <c r="U343" i="20"/>
  <c r="U342" i="20"/>
  <c r="U341" i="20"/>
  <c r="U340" i="20"/>
  <c r="U339" i="20"/>
  <c r="U338" i="20"/>
  <c r="U337" i="20"/>
  <c r="U336" i="20"/>
  <c r="U335" i="20"/>
  <c r="U334" i="20"/>
  <c r="U333" i="20"/>
  <c r="U332" i="20"/>
  <c r="U331" i="20"/>
  <c r="U330" i="20"/>
  <c r="U329" i="20"/>
  <c r="U328" i="20"/>
  <c r="U327" i="20"/>
  <c r="U326" i="20"/>
  <c r="U325" i="20"/>
  <c r="U324" i="20"/>
  <c r="U323" i="20"/>
  <c r="U322" i="20"/>
  <c r="U321" i="20"/>
  <c r="U320" i="20"/>
  <c r="U319" i="20"/>
  <c r="U318" i="20"/>
  <c r="U317" i="20"/>
  <c r="U316" i="20"/>
  <c r="U315" i="20"/>
  <c r="U314" i="20"/>
  <c r="U313" i="20"/>
  <c r="U312" i="20"/>
  <c r="U311" i="20"/>
  <c r="U310" i="20"/>
  <c r="U309" i="20"/>
  <c r="U308" i="20"/>
  <c r="U307" i="20"/>
  <c r="U306" i="20"/>
  <c r="U305" i="20"/>
  <c r="U304" i="20"/>
  <c r="U303" i="20"/>
  <c r="U302" i="20"/>
  <c r="U301" i="20"/>
  <c r="U300" i="20"/>
  <c r="U299" i="20"/>
  <c r="U298" i="20"/>
  <c r="U297" i="20"/>
  <c r="U296" i="20"/>
  <c r="U295" i="20"/>
  <c r="U294" i="20"/>
  <c r="U293" i="20"/>
  <c r="U292" i="20"/>
  <c r="U291" i="20"/>
  <c r="U290" i="20"/>
  <c r="U289" i="20"/>
  <c r="U288" i="20"/>
  <c r="U287" i="20"/>
  <c r="U286" i="20"/>
  <c r="U285" i="20"/>
  <c r="U284" i="20"/>
  <c r="U283" i="20"/>
  <c r="U282" i="20"/>
  <c r="U281" i="20"/>
  <c r="U280" i="20"/>
  <c r="U279" i="20"/>
  <c r="U278" i="20"/>
  <c r="U277" i="20"/>
  <c r="U276" i="20"/>
  <c r="U275" i="20"/>
  <c r="U274" i="20"/>
  <c r="U273" i="20"/>
  <c r="U272" i="20"/>
  <c r="U271" i="20"/>
  <c r="U270" i="20"/>
  <c r="U269" i="20"/>
  <c r="U268" i="20"/>
  <c r="U267" i="20"/>
  <c r="U266" i="20"/>
  <c r="U265" i="20"/>
  <c r="U264" i="20"/>
  <c r="U263" i="20"/>
  <c r="U262" i="20"/>
  <c r="U261" i="20"/>
  <c r="U260" i="20"/>
  <c r="U259" i="20"/>
  <c r="U258" i="20"/>
  <c r="U257" i="20"/>
  <c r="U256" i="20"/>
  <c r="U255" i="20"/>
  <c r="U254" i="20"/>
  <c r="U253" i="20"/>
  <c r="U252" i="20"/>
  <c r="U251" i="20"/>
  <c r="U250" i="20"/>
  <c r="U249" i="20"/>
  <c r="U248" i="20"/>
  <c r="U247" i="20"/>
  <c r="U246" i="20"/>
  <c r="U245" i="20"/>
  <c r="U244" i="20"/>
  <c r="U243" i="20"/>
  <c r="U242" i="20"/>
  <c r="U241" i="20"/>
  <c r="U240" i="20"/>
  <c r="U239" i="20"/>
  <c r="U238" i="20"/>
  <c r="U237" i="20"/>
  <c r="U236" i="20"/>
  <c r="U235" i="20"/>
  <c r="U234" i="20"/>
  <c r="U233" i="20"/>
  <c r="U232" i="20"/>
  <c r="U231" i="20"/>
  <c r="U230" i="20"/>
  <c r="U229" i="20"/>
  <c r="U228" i="20"/>
  <c r="U227" i="20"/>
  <c r="U226" i="20"/>
  <c r="U225" i="20"/>
  <c r="U224" i="20"/>
  <c r="U223" i="20"/>
  <c r="U222" i="20"/>
  <c r="U221" i="20"/>
  <c r="U220" i="20"/>
  <c r="U219" i="20"/>
  <c r="U218" i="20"/>
  <c r="U217" i="20"/>
  <c r="U216" i="20"/>
  <c r="U215" i="20"/>
  <c r="U214" i="20"/>
  <c r="U213" i="20"/>
  <c r="U212" i="20"/>
  <c r="U211" i="20"/>
  <c r="U210" i="20"/>
  <c r="U209" i="20"/>
  <c r="U208" i="20"/>
  <c r="U207" i="20"/>
  <c r="U206" i="20"/>
  <c r="U205" i="20"/>
  <c r="U204" i="20"/>
  <c r="U203" i="20"/>
  <c r="U202" i="20"/>
  <c r="U201" i="20"/>
  <c r="U200" i="20"/>
  <c r="U199" i="20"/>
  <c r="U198" i="20"/>
  <c r="U197" i="20"/>
  <c r="U196" i="20"/>
  <c r="U195" i="20"/>
  <c r="U194" i="20"/>
  <c r="U193" i="20"/>
  <c r="U192" i="20"/>
  <c r="U191" i="20"/>
  <c r="U190" i="20"/>
  <c r="U189" i="20"/>
  <c r="U188" i="20"/>
  <c r="U187" i="20"/>
  <c r="U186" i="20"/>
  <c r="U185" i="20"/>
  <c r="U184" i="20"/>
  <c r="U183" i="20"/>
  <c r="U182" i="20"/>
  <c r="U181" i="20"/>
  <c r="U180" i="20"/>
  <c r="U179" i="20"/>
  <c r="U178" i="20"/>
  <c r="U177" i="20"/>
  <c r="U176" i="20"/>
  <c r="U175" i="20"/>
  <c r="U174" i="20"/>
  <c r="U173" i="20"/>
  <c r="U172" i="20"/>
  <c r="U171" i="20"/>
  <c r="U170" i="20"/>
  <c r="U169" i="20"/>
  <c r="U168" i="20"/>
  <c r="U167" i="20"/>
  <c r="U166" i="20"/>
  <c r="U165" i="20"/>
  <c r="U164" i="20"/>
  <c r="U163" i="20"/>
  <c r="U162" i="20"/>
  <c r="U161" i="20"/>
  <c r="U160" i="20"/>
  <c r="U159" i="20"/>
  <c r="U158" i="20"/>
  <c r="U157" i="20"/>
  <c r="U156" i="20"/>
  <c r="U155" i="20"/>
  <c r="U154" i="20"/>
  <c r="U153" i="20"/>
  <c r="U152" i="20"/>
  <c r="U151" i="20"/>
  <c r="U150" i="20"/>
  <c r="U149" i="20"/>
  <c r="U148" i="20"/>
  <c r="U147" i="20"/>
  <c r="U146" i="20"/>
  <c r="U145" i="20"/>
  <c r="U144" i="20"/>
  <c r="U143" i="20"/>
  <c r="U142" i="20"/>
  <c r="U141" i="20"/>
  <c r="U140" i="20"/>
  <c r="U139" i="20"/>
  <c r="U138" i="20"/>
  <c r="U137" i="20"/>
  <c r="U136" i="20"/>
  <c r="U135" i="20"/>
  <c r="U134" i="20"/>
  <c r="U133" i="20"/>
  <c r="U132" i="20"/>
  <c r="U131" i="20"/>
  <c r="U130" i="20"/>
  <c r="U129" i="20"/>
  <c r="U128" i="20"/>
  <c r="U127" i="20"/>
  <c r="U126" i="20"/>
  <c r="U125" i="20"/>
  <c r="U124" i="20"/>
  <c r="U123" i="20"/>
  <c r="U122" i="20"/>
  <c r="U121" i="20"/>
  <c r="U120" i="20"/>
  <c r="U119" i="20"/>
  <c r="U118" i="20"/>
  <c r="U117" i="20"/>
  <c r="U116" i="20"/>
  <c r="U115" i="20"/>
  <c r="U114" i="20"/>
  <c r="U113" i="20"/>
  <c r="U112" i="20"/>
  <c r="U111" i="20"/>
  <c r="U110" i="20"/>
  <c r="U109" i="20"/>
  <c r="U108" i="20"/>
  <c r="U107" i="20"/>
  <c r="U106" i="20"/>
  <c r="U105" i="20"/>
  <c r="U104" i="20"/>
  <c r="U103" i="20"/>
  <c r="U102" i="20"/>
  <c r="U101" i="20"/>
  <c r="U100" i="20"/>
  <c r="U99" i="20"/>
  <c r="U98" i="20"/>
  <c r="U97" i="20"/>
  <c r="U96" i="20"/>
  <c r="U95" i="20"/>
  <c r="U94" i="20"/>
  <c r="U93" i="20"/>
  <c r="U92" i="20"/>
  <c r="U91" i="20"/>
  <c r="U90" i="20"/>
  <c r="U89" i="20"/>
  <c r="U88" i="20"/>
  <c r="U87" i="20"/>
  <c r="U86" i="20"/>
  <c r="U85" i="20"/>
  <c r="U84" i="20"/>
  <c r="U83" i="20"/>
  <c r="U82" i="20"/>
  <c r="U81" i="20"/>
  <c r="U80" i="20"/>
  <c r="U79" i="20"/>
  <c r="U78" i="20"/>
  <c r="U77" i="20"/>
  <c r="U76" i="20"/>
  <c r="U75" i="20"/>
  <c r="U74" i="20"/>
  <c r="U73" i="20"/>
  <c r="U72" i="20"/>
  <c r="U71" i="20"/>
  <c r="U70" i="20"/>
  <c r="U69" i="20"/>
  <c r="U68" i="20"/>
  <c r="U67" i="20"/>
  <c r="U66" i="20"/>
  <c r="U65" i="20"/>
  <c r="U64" i="20"/>
  <c r="U63" i="20"/>
  <c r="U62" i="20"/>
  <c r="U61" i="20"/>
  <c r="U60" i="20"/>
  <c r="U59" i="20"/>
  <c r="U58" i="20"/>
  <c r="U57" i="20"/>
  <c r="U56" i="20"/>
  <c r="U55" i="20"/>
  <c r="U54" i="20"/>
  <c r="U53" i="20"/>
  <c r="U52" i="20"/>
  <c r="U51" i="20"/>
  <c r="U50" i="20"/>
  <c r="U49" i="20"/>
  <c r="U48" i="20"/>
  <c r="U47" i="20"/>
  <c r="U46" i="20"/>
  <c r="U45" i="20"/>
  <c r="U44" i="20"/>
  <c r="U43" i="20"/>
  <c r="U42" i="20"/>
  <c r="U41" i="20"/>
  <c r="U40" i="20"/>
  <c r="U39" i="20"/>
  <c r="U38" i="20"/>
  <c r="U37" i="20"/>
  <c r="U36" i="20"/>
  <c r="U35" i="20"/>
  <c r="U34" i="20"/>
  <c r="U33" i="20"/>
  <c r="U32" i="20"/>
  <c r="U31" i="20"/>
  <c r="U30" i="20"/>
  <c r="U29" i="20"/>
  <c r="U28" i="20"/>
  <c r="U27" i="20"/>
  <c r="U26" i="20"/>
  <c r="U25" i="20"/>
  <c r="U24" i="20"/>
  <c r="U23" i="20"/>
  <c r="U22" i="20"/>
  <c r="U21" i="20"/>
  <c r="U20" i="20"/>
  <c r="U19" i="20"/>
  <c r="U18" i="20"/>
  <c r="U17" i="20"/>
  <c r="U16" i="20"/>
  <c r="U15" i="20"/>
  <c r="U14" i="20"/>
  <c r="U13" i="20"/>
  <c r="U12" i="20"/>
  <c r="U11" i="20"/>
  <c r="U10" i="20"/>
  <c r="U9" i="20"/>
  <c r="U8" i="20"/>
  <c r="U7" i="20"/>
  <c r="U6" i="20"/>
  <c r="U5" i="20"/>
  <c r="U4" i="20"/>
  <c r="U3" i="20"/>
  <c r="I64" i="20" l="1"/>
  <c r="I68" i="20"/>
  <c r="I66" i="20"/>
  <c r="I65" i="20"/>
  <c r="I69" i="20"/>
  <c r="I67" i="20"/>
  <c r="I35" i="20"/>
  <c r="I36" i="20"/>
  <c r="I53" i="20"/>
  <c r="P53" i="20" s="1"/>
  <c r="I60" i="20"/>
  <c r="P60" i="20" s="1"/>
  <c r="I56" i="20"/>
  <c r="P56" i="20" s="1"/>
  <c r="I63" i="20"/>
  <c r="I59" i="20"/>
  <c r="I55" i="20"/>
  <c r="I62" i="20"/>
  <c r="I58" i="20"/>
  <c r="I54" i="20"/>
  <c r="I61" i="20"/>
  <c r="I57" i="20"/>
  <c r="D17" i="4" l="1"/>
  <c r="I14" i="3" s="1"/>
  <c r="H102" i="4"/>
  <c r="H50" i="4"/>
  <c r="H97" i="4"/>
  <c r="H57" i="4"/>
  <c r="H41" i="4"/>
  <c r="H25" i="4"/>
  <c r="H8" i="4"/>
  <c r="H98" i="4"/>
  <c r="H54" i="4"/>
  <c r="H9" i="4"/>
  <c r="H96" i="4"/>
  <c r="H68" i="4"/>
  <c r="H36" i="4"/>
  <c r="H3" i="4"/>
  <c r="H66" i="4"/>
  <c r="H22" i="4"/>
  <c r="H73" i="4"/>
  <c r="H72" i="4"/>
  <c r="H44" i="4"/>
  <c r="H7" i="4"/>
  <c r="H87" i="4"/>
  <c r="H71" i="4"/>
  <c r="H55" i="4"/>
  <c r="H39" i="4"/>
  <c r="H23" i="4"/>
  <c r="H6" i="4"/>
  <c r="H94" i="4"/>
  <c r="H81" i="4"/>
  <c r="H53" i="4"/>
  <c r="H21" i="4"/>
  <c r="H86" i="4"/>
  <c r="H93" i="4"/>
  <c r="H60" i="4"/>
  <c r="H103" i="4"/>
  <c r="H5" i="4"/>
  <c r="H64" i="4"/>
  <c r="H99" i="4"/>
  <c r="H67" i="4"/>
  <c r="H35" i="4"/>
  <c r="H82" i="4"/>
  <c r="H26" i="4"/>
  <c r="H69" i="4"/>
  <c r="H49" i="4"/>
  <c r="H33" i="4"/>
  <c r="H16" i="4"/>
  <c r="H17" i="4"/>
  <c r="H78" i="4"/>
  <c r="H30" i="4"/>
  <c r="H85" i="4"/>
  <c r="H84" i="4"/>
  <c r="H52" i="4"/>
  <c r="H20" i="4"/>
  <c r="H90" i="4"/>
  <c r="H46" i="4"/>
  <c r="H89" i="4"/>
  <c r="H92" i="4"/>
  <c r="H56" i="4"/>
  <c r="H24" i="4"/>
  <c r="H95" i="4"/>
  <c r="H79" i="4"/>
  <c r="H63" i="4"/>
  <c r="H47" i="4"/>
  <c r="H31" i="4"/>
  <c r="H14" i="4"/>
  <c r="H45" i="4"/>
  <c r="H18" i="4"/>
  <c r="H76" i="4"/>
  <c r="H11" i="4"/>
  <c r="H34" i="4"/>
  <c r="H80" i="4"/>
  <c r="H15" i="4"/>
  <c r="H75" i="4"/>
  <c r="H43" i="4"/>
  <c r="H10" i="4"/>
  <c r="H38" i="4"/>
  <c r="H37" i="4"/>
  <c r="H4" i="4"/>
  <c r="H42" i="4"/>
  <c r="H88" i="4"/>
  <c r="H28" i="4"/>
  <c r="H58" i="4"/>
  <c r="H100" i="4"/>
  <c r="H32" i="4"/>
  <c r="H83" i="4"/>
  <c r="H51" i="4"/>
  <c r="H19" i="4"/>
  <c r="H70" i="4"/>
  <c r="H13" i="4"/>
  <c r="H61" i="4"/>
  <c r="H29" i="4"/>
  <c r="H12" i="4"/>
  <c r="H101" i="4"/>
  <c r="H62" i="4"/>
  <c r="H65" i="4"/>
  <c r="H40" i="4"/>
  <c r="H74" i="4"/>
  <c r="H77" i="4"/>
  <c r="H48" i="4"/>
  <c r="H91" i="4"/>
  <c r="H59" i="4"/>
  <c r="H27" i="4"/>
  <c r="H104" i="4"/>
  <c r="D105" i="4"/>
  <c r="I117" i="3" s="1"/>
  <c r="D99" i="4"/>
  <c r="D93" i="4"/>
  <c r="I103" i="3" s="1"/>
  <c r="D87" i="4"/>
  <c r="I97" i="3" s="1"/>
  <c r="D82" i="4"/>
  <c r="I92" i="3" s="1"/>
  <c r="D78" i="4"/>
  <c r="I88" i="3" s="1"/>
  <c r="D72" i="4"/>
  <c r="I82" i="3" s="1"/>
  <c r="D67" i="4"/>
  <c r="I76" i="3" s="1"/>
  <c r="D62" i="4"/>
  <c r="I72" i="3" s="1"/>
  <c r="D58" i="4"/>
  <c r="I68" i="3" s="1"/>
  <c r="D54" i="4"/>
  <c r="I64" i="3" s="1"/>
  <c r="D49" i="4"/>
  <c r="I57" i="3" s="1"/>
  <c r="D42" i="4"/>
  <c r="I50" i="3" s="1"/>
  <c r="D38" i="4"/>
  <c r="I46" i="3" s="1"/>
  <c r="D34" i="4"/>
  <c r="I42" i="3" s="1"/>
  <c r="D29" i="4"/>
  <c r="I37" i="3" s="1"/>
  <c r="D24" i="4"/>
  <c r="I32" i="3" s="1"/>
  <c r="D18" i="4"/>
  <c r="I26" i="3" s="1"/>
  <c r="D14" i="4"/>
  <c r="I23" i="3" s="1"/>
  <c r="D10" i="4"/>
  <c r="I19" i="3" s="1"/>
  <c r="D6" i="4"/>
  <c r="I15" i="3" s="1"/>
  <c r="D104" i="4"/>
  <c r="I116" i="3" s="1"/>
  <c r="D97" i="4"/>
  <c r="I107" i="3" s="1"/>
  <c r="D92" i="4"/>
  <c r="I102" i="3" s="1"/>
  <c r="D86" i="4"/>
  <c r="I96" i="3" s="1"/>
  <c r="D81" i="4"/>
  <c r="I91" i="3" s="1"/>
  <c r="D77" i="4"/>
  <c r="I87" i="3" s="1"/>
  <c r="D71" i="4"/>
  <c r="I81" i="3" s="1"/>
  <c r="D66" i="4"/>
  <c r="I78" i="3" s="1"/>
  <c r="D61" i="4"/>
  <c r="I71" i="3" s="1"/>
  <c r="D57" i="4"/>
  <c r="I67" i="3" s="1"/>
  <c r="D53" i="4"/>
  <c r="I63" i="3" s="1"/>
  <c r="D47" i="4"/>
  <c r="I55" i="3" s="1"/>
  <c r="D41" i="4"/>
  <c r="I49" i="3" s="1"/>
  <c r="D37" i="4"/>
  <c r="I45" i="3" s="1"/>
  <c r="D33" i="4"/>
  <c r="I41" i="3" s="1"/>
  <c r="D28" i="4"/>
  <c r="I36" i="3" s="1"/>
  <c r="D23" i="4"/>
  <c r="I31" i="3" s="1"/>
  <c r="D13" i="4"/>
  <c r="I22" i="3" s="1"/>
  <c r="D9" i="4"/>
  <c r="I18" i="3" s="1"/>
  <c r="D4" i="4"/>
  <c r="I7" i="3" s="1"/>
  <c r="D96" i="4"/>
  <c r="I106" i="3" s="1"/>
  <c r="D91" i="4"/>
  <c r="I101" i="3" s="1"/>
  <c r="D84" i="4"/>
  <c r="I94" i="3" s="1"/>
  <c r="D80" i="4"/>
  <c r="I90" i="3" s="1"/>
  <c r="D76" i="4"/>
  <c r="I86" i="3" s="1"/>
  <c r="D69" i="4"/>
  <c r="I79" i="3" s="1"/>
  <c r="D64" i="4"/>
  <c r="I74" i="3" s="1"/>
  <c r="D60" i="4"/>
  <c r="I70" i="3" s="1"/>
  <c r="D56" i="4"/>
  <c r="I66" i="3" s="1"/>
  <c r="D52" i="4"/>
  <c r="I60" i="3" s="1"/>
  <c r="D45" i="4"/>
  <c r="I53" i="3" s="1"/>
  <c r="D40" i="4"/>
  <c r="I48" i="3" s="1"/>
  <c r="D36" i="4"/>
  <c r="I44" i="3" s="1"/>
  <c r="D31" i="4"/>
  <c r="I39" i="3" s="1"/>
  <c r="D27" i="4"/>
  <c r="I35" i="3" s="1"/>
  <c r="D22" i="4"/>
  <c r="I30" i="3" s="1"/>
  <c r="D16" i="4"/>
  <c r="I25" i="3" s="1"/>
  <c r="D12" i="4"/>
  <c r="I21" i="3" s="1"/>
  <c r="D8" i="4"/>
  <c r="I17" i="3" s="1"/>
  <c r="D3" i="4"/>
  <c r="I6" i="3" s="1"/>
  <c r="D100" i="4"/>
  <c r="D94" i="4"/>
  <c r="I104" i="3" s="1"/>
  <c r="D89" i="4"/>
  <c r="I99" i="3" s="1"/>
  <c r="D83" i="4"/>
  <c r="I93" i="3" s="1"/>
  <c r="D79" i="4"/>
  <c r="I89" i="3" s="1"/>
  <c r="D73" i="4"/>
  <c r="I83" i="3" s="1"/>
  <c r="D68" i="4"/>
  <c r="I77" i="3" s="1"/>
  <c r="D63" i="4"/>
  <c r="I73" i="3" s="1"/>
  <c r="D59" i="4"/>
  <c r="I69" i="3" s="1"/>
  <c r="D55" i="4"/>
  <c r="I65" i="3" s="1"/>
  <c r="D50" i="4"/>
  <c r="I58" i="3" s="1"/>
  <c r="D44" i="4"/>
  <c r="I52" i="3" s="1"/>
  <c r="D39" i="4"/>
  <c r="I47" i="3" s="1"/>
  <c r="D35" i="4"/>
  <c r="I43" i="3" s="1"/>
  <c r="D30" i="4"/>
  <c r="I38" i="3" s="1"/>
  <c r="D25" i="4"/>
  <c r="I33" i="3" s="1"/>
  <c r="D21" i="4"/>
  <c r="I29" i="3" s="1"/>
  <c r="D15" i="4"/>
  <c r="I24" i="3" s="1"/>
  <c r="D11" i="4"/>
  <c r="I20" i="3" s="1"/>
  <c r="D7" i="4"/>
  <c r="I16" i="3" s="1"/>
  <c r="O65" i="20"/>
  <c r="P65" i="20"/>
  <c r="O66" i="20"/>
  <c r="P66" i="20"/>
  <c r="P67" i="20"/>
  <c r="O67" i="20"/>
  <c r="O68" i="20"/>
  <c r="P68" i="20"/>
  <c r="P69" i="20"/>
  <c r="O69" i="20"/>
  <c r="O64" i="20"/>
  <c r="P64" i="20"/>
  <c r="O60" i="20"/>
  <c r="O53" i="20"/>
  <c r="O56" i="20"/>
  <c r="O57" i="20"/>
  <c r="P57" i="20"/>
  <c r="P62" i="20"/>
  <c r="O62" i="20"/>
  <c r="P61" i="20"/>
  <c r="O61" i="20"/>
  <c r="O55" i="20"/>
  <c r="P55" i="20"/>
  <c r="O58" i="20"/>
  <c r="P58" i="20"/>
  <c r="O54" i="20"/>
  <c r="P54" i="20"/>
  <c r="O59" i="20"/>
  <c r="P59" i="20"/>
  <c r="O63" i="20"/>
  <c r="P63" i="20"/>
  <c r="D12" i="20" l="1"/>
  <c r="D19" i="20" s="1" a="1"/>
  <c r="D19" i="20" s="1"/>
  <c r="C12" i="20"/>
  <c r="C19" i="20" s="1" a="1"/>
  <c r="C19" i="20" s="1"/>
  <c r="M122" i="3"/>
  <c r="F17" i="1" l="1"/>
  <c r="G17" i="1"/>
  <c r="K19" i="2"/>
  <c r="D20" i="20" a="1"/>
  <c r="D20" i="20" s="1"/>
  <c r="D18" i="20" a="1"/>
  <c r="D18" i="20" s="1"/>
  <c r="C17" i="20" a="1"/>
  <c r="C17" i="20" s="1"/>
  <c r="C16" i="20" a="1"/>
  <c r="C16" i="20" s="1"/>
  <c r="F14" i="1" s="1"/>
  <c r="C20" i="20" a="1"/>
  <c r="C20" i="20" s="1"/>
  <c r="F18" i="1" s="1"/>
  <c r="D16" i="20" a="1"/>
  <c r="D16" i="20" s="1"/>
  <c r="D17" i="20" a="1"/>
  <c r="D17" i="20" s="1"/>
  <c r="C18" i="20" a="1"/>
  <c r="C18" i="20" s="1"/>
  <c r="F16" i="1" s="1"/>
  <c r="F15" i="1" l="1"/>
  <c r="G18" i="1"/>
  <c r="K6" i="2"/>
  <c r="K16" i="2"/>
  <c r="G16" i="1"/>
  <c r="K14" i="2"/>
  <c r="K15" i="2" s="1"/>
  <c r="G15" i="1"/>
  <c r="K11" i="2"/>
  <c r="G14" i="1"/>
  <c r="T15" i="15"/>
  <c r="T14" i="15"/>
  <c r="T13" i="15"/>
  <c r="T12" i="15"/>
  <c r="D3" i="17" l="1"/>
  <c r="E3" i="17" s="1"/>
  <c r="I50" i="20" l="1"/>
  <c r="O50" i="20" s="1"/>
  <c r="I46" i="20"/>
  <c r="O46" i="20" s="1"/>
  <c r="I42" i="20"/>
  <c r="O42" i="20" s="1"/>
  <c r="I38" i="20"/>
  <c r="O38" i="20" s="1"/>
  <c r="I49" i="20"/>
  <c r="O49" i="20" s="1"/>
  <c r="I45" i="20"/>
  <c r="O45" i="20" s="1"/>
  <c r="I41" i="20"/>
  <c r="O41" i="20" s="1"/>
  <c r="I37" i="20"/>
  <c r="O37" i="20" s="1"/>
  <c r="I33" i="20"/>
  <c r="O33" i="20" s="1"/>
  <c r="I29" i="20"/>
  <c r="O29" i="20" s="1"/>
  <c r="I25" i="20"/>
  <c r="O25" i="20" s="1"/>
  <c r="I21" i="20"/>
  <c r="O21" i="20" s="1"/>
  <c r="I17" i="20"/>
  <c r="O17" i="20" s="1"/>
  <c r="I13" i="20"/>
  <c r="O13" i="20" s="1"/>
  <c r="I9" i="20"/>
  <c r="O9" i="20" s="1"/>
  <c r="I5" i="20"/>
  <c r="O5" i="20" s="1"/>
  <c r="I52" i="20"/>
  <c r="O52" i="20" s="1"/>
  <c r="I48" i="20"/>
  <c r="O48" i="20" s="1"/>
  <c r="I44" i="20"/>
  <c r="O44" i="20" s="1"/>
  <c r="I40" i="20"/>
  <c r="O40" i="20" s="1"/>
  <c r="O36" i="20"/>
  <c r="I32" i="20"/>
  <c r="O32" i="20" s="1"/>
  <c r="I28" i="20"/>
  <c r="O28" i="20" s="1"/>
  <c r="I24" i="20"/>
  <c r="O24" i="20" s="1"/>
  <c r="I20" i="20"/>
  <c r="O20" i="20" s="1"/>
  <c r="I16" i="20"/>
  <c r="O16" i="20" s="1"/>
  <c r="I12" i="20"/>
  <c r="O12" i="20" s="1"/>
  <c r="I8" i="20"/>
  <c r="O8" i="20" s="1"/>
  <c r="I4" i="20"/>
  <c r="O4" i="20" s="1"/>
  <c r="I51" i="20"/>
  <c r="O51" i="20" s="1"/>
  <c r="I47" i="20"/>
  <c r="O47" i="20" s="1"/>
  <c r="I43" i="20"/>
  <c r="O43" i="20" s="1"/>
  <c r="I39" i="20"/>
  <c r="O39" i="20" s="1"/>
  <c r="O35" i="20"/>
  <c r="I31" i="20"/>
  <c r="O31" i="20" s="1"/>
  <c r="I27" i="20"/>
  <c r="O27" i="20" s="1"/>
  <c r="I23" i="20"/>
  <c r="O23" i="20" s="1"/>
  <c r="I19" i="20"/>
  <c r="O19" i="20" s="1"/>
  <c r="I15" i="20"/>
  <c r="O15" i="20" s="1"/>
  <c r="I11" i="20"/>
  <c r="O11" i="20" s="1"/>
  <c r="I7" i="20"/>
  <c r="O7" i="20" s="1"/>
  <c r="I3" i="20"/>
  <c r="O3" i="20" s="1"/>
  <c r="I34" i="20"/>
  <c r="O34" i="20" s="1"/>
  <c r="I30" i="20"/>
  <c r="O30" i="20" s="1"/>
  <c r="I26" i="20"/>
  <c r="O26" i="20" s="1"/>
  <c r="I22" i="20"/>
  <c r="O22" i="20" s="1"/>
  <c r="I18" i="20"/>
  <c r="O18" i="20" s="1"/>
  <c r="I14" i="20"/>
  <c r="O14" i="20" s="1"/>
  <c r="I10" i="20"/>
  <c r="O10" i="20" s="1"/>
  <c r="I6" i="20"/>
  <c r="O6" i="20" s="1"/>
  <c r="C21" i="20" l="1" a="1"/>
  <c r="C21" i="20" s="1"/>
  <c r="D21" i="20" a="1"/>
  <c r="D21" i="20" s="1"/>
  <c r="G19" i="1" s="1"/>
  <c r="C15" i="20" a="1"/>
  <c r="C15" i="20" s="1"/>
  <c r="F13" i="1" s="1"/>
  <c r="D15" i="20" a="1"/>
  <c r="D15" i="20" s="1"/>
  <c r="C34" i="20"/>
  <c r="D34" i="20"/>
  <c r="C14" i="20"/>
  <c r="F12" i="1" s="1"/>
  <c r="P50" i="20"/>
  <c r="P49" i="20"/>
  <c r="P45" i="20"/>
  <c r="P42" i="20"/>
  <c r="P41" i="20"/>
  <c r="P38" i="20"/>
  <c r="P37" i="20"/>
  <c r="P33" i="20"/>
  <c r="P29" i="20"/>
  <c r="P25" i="20"/>
  <c r="P21" i="20"/>
  <c r="P17" i="20"/>
  <c r="P13" i="20"/>
  <c r="P9" i="20"/>
  <c r="P7" i="20"/>
  <c r="P5" i="20"/>
  <c r="F19" i="1" l="1"/>
  <c r="K3" i="2"/>
  <c r="K20" i="2" s="1"/>
  <c r="G13" i="1"/>
  <c r="P3" i="20"/>
  <c r="P31" i="20"/>
  <c r="P18" i="20"/>
  <c r="P27" i="20"/>
  <c r="P30" i="20"/>
  <c r="P11" i="20"/>
  <c r="P14" i="20"/>
  <c r="P23" i="20"/>
  <c r="P15" i="20"/>
  <c r="P22" i="20"/>
  <c r="P39" i="20"/>
  <c r="P46" i="20"/>
  <c r="P34" i="20"/>
  <c r="P51" i="20"/>
  <c r="P47" i="20"/>
  <c r="P6" i="20"/>
  <c r="P10" i="20"/>
  <c r="P19" i="20"/>
  <c r="P26" i="20"/>
  <c r="P35" i="20"/>
  <c r="P43" i="20"/>
  <c r="P4" i="20"/>
  <c r="P8" i="20"/>
  <c r="P12" i="20"/>
  <c r="P16" i="20"/>
  <c r="P20" i="20"/>
  <c r="P24" i="20"/>
  <c r="P28" i="20"/>
  <c r="P32" i="20"/>
  <c r="P36" i="20"/>
  <c r="P40" i="20"/>
  <c r="P44" i="20"/>
  <c r="P48" i="20"/>
  <c r="P52" i="20"/>
  <c r="W112" i="3" l="1"/>
  <c r="S112" i="3" s="1"/>
  <c r="W111" i="3"/>
  <c r="S111" i="3" s="1"/>
  <c r="W119" i="3"/>
  <c r="T119" i="3"/>
  <c r="T44" i="3"/>
  <c r="T48" i="3"/>
  <c r="T53" i="3"/>
  <c r="T37" i="3"/>
  <c r="T35" i="3"/>
  <c r="T30" i="3"/>
  <c r="T42" i="3"/>
  <c r="T46" i="3"/>
  <c r="T50" i="3"/>
  <c r="T57" i="3"/>
  <c r="T39" i="3"/>
  <c r="T32" i="3"/>
  <c r="T43" i="3"/>
  <c r="T47" i="3"/>
  <c r="T52" i="3"/>
  <c r="T36" i="3"/>
  <c r="T33" i="3"/>
  <c r="T41" i="3"/>
  <c r="T45" i="3"/>
  <c r="T49" i="3"/>
  <c r="T55" i="3"/>
  <c r="T38" i="3"/>
  <c r="T31" i="3"/>
  <c r="T29" i="3"/>
  <c r="T58" i="3"/>
  <c r="K5" i="2"/>
  <c r="V32" i="3" s="1"/>
  <c r="I42" i="14"/>
  <c r="I34" i="14"/>
  <c r="I26" i="14"/>
  <c r="I18" i="14"/>
  <c r="I10" i="14"/>
  <c r="I42" i="13"/>
  <c r="I34" i="13"/>
  <c r="I26" i="13"/>
  <c r="I18" i="13"/>
  <c r="I10" i="13"/>
  <c r="I43" i="12"/>
  <c r="I35" i="12"/>
  <c r="I27" i="12"/>
  <c r="I19" i="12"/>
  <c r="I11" i="12"/>
  <c r="I43" i="11"/>
  <c r="I35" i="11"/>
  <c r="I27" i="11"/>
  <c r="I19" i="11"/>
  <c r="I11" i="11"/>
  <c r="I43" i="10"/>
  <c r="I35" i="10"/>
  <c r="I27" i="10"/>
  <c r="I19" i="10"/>
  <c r="I11" i="10"/>
  <c r="R912" i="9"/>
  <c r="R911" i="9"/>
  <c r="R910" i="9"/>
  <c r="R909" i="9"/>
  <c r="R908" i="9"/>
  <c r="R907" i="9"/>
  <c r="R906" i="9"/>
  <c r="R905" i="9"/>
  <c r="R904" i="9"/>
  <c r="R903" i="9"/>
  <c r="R902" i="9"/>
  <c r="R901" i="9"/>
  <c r="R900" i="9"/>
  <c r="R899" i="9"/>
  <c r="R898" i="9"/>
  <c r="R897" i="9"/>
  <c r="R896" i="9"/>
  <c r="R895" i="9"/>
  <c r="R894" i="9"/>
  <c r="R893" i="9"/>
  <c r="R892" i="9"/>
  <c r="R891" i="9"/>
  <c r="R890" i="9"/>
  <c r="R889" i="9"/>
  <c r="R888" i="9"/>
  <c r="R887" i="9"/>
  <c r="R886" i="9"/>
  <c r="R885" i="9"/>
  <c r="R884" i="9"/>
  <c r="R883" i="9"/>
  <c r="R882" i="9"/>
  <c r="R881" i="9"/>
  <c r="R880" i="9"/>
  <c r="R879" i="9"/>
  <c r="R878" i="9"/>
  <c r="R877" i="9"/>
  <c r="R876" i="9"/>
  <c r="R875" i="9"/>
  <c r="R874" i="9"/>
  <c r="R873" i="9"/>
  <c r="R872" i="9"/>
  <c r="R871" i="9"/>
  <c r="R870" i="9"/>
  <c r="R869" i="9"/>
  <c r="R868" i="9"/>
  <c r="R867" i="9"/>
  <c r="R866" i="9"/>
  <c r="R865" i="9"/>
  <c r="R864" i="9"/>
  <c r="R863" i="9"/>
  <c r="R862" i="9"/>
  <c r="R861" i="9"/>
  <c r="R860" i="9"/>
  <c r="R859" i="9"/>
  <c r="R858" i="9"/>
  <c r="R857" i="9"/>
  <c r="R856" i="9"/>
  <c r="R855" i="9"/>
  <c r="R854" i="9"/>
  <c r="R853" i="9"/>
  <c r="R852" i="9"/>
  <c r="R851" i="9"/>
  <c r="R850" i="9"/>
  <c r="R849" i="9"/>
  <c r="R848" i="9"/>
  <c r="R847" i="9"/>
  <c r="R846" i="9"/>
  <c r="R845" i="9"/>
  <c r="R844" i="9"/>
  <c r="R843" i="9"/>
  <c r="R842" i="9"/>
  <c r="R841" i="9"/>
  <c r="R840" i="9"/>
  <c r="R839" i="9"/>
  <c r="R838" i="9"/>
  <c r="R837" i="9"/>
  <c r="R836" i="9"/>
  <c r="R835" i="9"/>
  <c r="R834" i="9"/>
  <c r="R833" i="9"/>
  <c r="R832" i="9"/>
  <c r="R831" i="9"/>
  <c r="R830" i="9"/>
  <c r="R829" i="9"/>
  <c r="R828" i="9"/>
  <c r="R827" i="9"/>
  <c r="R826" i="9"/>
  <c r="R825" i="9"/>
  <c r="R824" i="9"/>
  <c r="R823" i="9"/>
  <c r="R822" i="9"/>
  <c r="R821" i="9"/>
  <c r="R820" i="9"/>
  <c r="R819" i="9"/>
  <c r="R818" i="9"/>
  <c r="R817" i="9"/>
  <c r="R816" i="9"/>
  <c r="R815" i="9"/>
  <c r="R814" i="9"/>
  <c r="R813" i="9"/>
  <c r="R812" i="9"/>
  <c r="R811" i="9"/>
  <c r="R810" i="9"/>
  <c r="R809" i="9"/>
  <c r="R808" i="9"/>
  <c r="R807" i="9"/>
  <c r="R806" i="9"/>
  <c r="R805" i="9"/>
  <c r="R804" i="9"/>
  <c r="R803" i="9"/>
  <c r="R802" i="9"/>
  <c r="R801" i="9"/>
  <c r="R800" i="9"/>
  <c r="R799" i="9"/>
  <c r="R798" i="9"/>
  <c r="R797" i="9"/>
  <c r="R796" i="9"/>
  <c r="R795" i="9"/>
  <c r="R794" i="9"/>
  <c r="R793" i="9"/>
  <c r="R792" i="9"/>
  <c r="R791" i="9"/>
  <c r="R790" i="9"/>
  <c r="R789" i="9"/>
  <c r="R788" i="9"/>
  <c r="R787" i="9"/>
  <c r="R786" i="9"/>
  <c r="R785" i="9"/>
  <c r="R784" i="9"/>
  <c r="R783" i="9"/>
  <c r="R782" i="9"/>
  <c r="R781" i="9"/>
  <c r="R780" i="9"/>
  <c r="R779" i="9"/>
  <c r="R778" i="9"/>
  <c r="R777" i="9"/>
  <c r="R776" i="9"/>
  <c r="R775" i="9"/>
  <c r="R774" i="9"/>
  <c r="R773" i="9"/>
  <c r="R772" i="9"/>
  <c r="R771" i="9"/>
  <c r="R770" i="9"/>
  <c r="R769" i="9"/>
  <c r="R768" i="9"/>
  <c r="R767" i="9"/>
  <c r="R766" i="9"/>
  <c r="R765" i="9"/>
  <c r="R764" i="9"/>
  <c r="R763" i="9"/>
  <c r="R762" i="9"/>
  <c r="R761" i="9"/>
  <c r="R760" i="9"/>
  <c r="R759" i="9"/>
  <c r="R758" i="9"/>
  <c r="R757" i="9"/>
  <c r="R756" i="9"/>
  <c r="R755" i="9"/>
  <c r="R754" i="9"/>
  <c r="R753" i="9"/>
  <c r="R752" i="9"/>
  <c r="R751" i="9"/>
  <c r="R750" i="9"/>
  <c r="R749" i="9"/>
  <c r="R748" i="9"/>
  <c r="R747" i="9"/>
  <c r="R746" i="9"/>
  <c r="R745" i="9"/>
  <c r="R744" i="9"/>
  <c r="R743" i="9"/>
  <c r="R742" i="9"/>
  <c r="R741" i="9"/>
  <c r="R740" i="9"/>
  <c r="R739" i="9"/>
  <c r="R738" i="9"/>
  <c r="R737" i="9"/>
  <c r="R736" i="9"/>
  <c r="R735" i="9"/>
  <c r="R734" i="9"/>
  <c r="R733" i="9"/>
  <c r="R732" i="9"/>
  <c r="R731" i="9"/>
  <c r="R730" i="9"/>
  <c r="R729" i="9"/>
  <c r="R728" i="9"/>
  <c r="R727" i="9"/>
  <c r="R726" i="9"/>
  <c r="R725" i="9"/>
  <c r="R724" i="9"/>
  <c r="R723" i="9"/>
  <c r="R722" i="9"/>
  <c r="R721" i="9"/>
  <c r="R720" i="9"/>
  <c r="R719" i="9"/>
  <c r="R718" i="9"/>
  <c r="R717" i="9"/>
  <c r="R716" i="9"/>
  <c r="R715" i="9"/>
  <c r="R714" i="9"/>
  <c r="R713" i="9"/>
  <c r="R712" i="9"/>
  <c r="R711" i="9"/>
  <c r="R710" i="9"/>
  <c r="R709" i="9"/>
  <c r="R708" i="9"/>
  <c r="R707" i="9"/>
  <c r="R706" i="9"/>
  <c r="R705" i="9"/>
  <c r="R704" i="9"/>
  <c r="R703" i="9"/>
  <c r="R702" i="9"/>
  <c r="R701" i="9"/>
  <c r="R700" i="9"/>
  <c r="R699" i="9"/>
  <c r="R698" i="9"/>
  <c r="R697" i="9"/>
  <c r="R696" i="9"/>
  <c r="R695" i="9"/>
  <c r="R694" i="9"/>
  <c r="R693" i="9"/>
  <c r="R692" i="9"/>
  <c r="R691" i="9"/>
  <c r="R690" i="9"/>
  <c r="R689" i="9"/>
  <c r="R688" i="9"/>
  <c r="R687" i="9"/>
  <c r="R686" i="9"/>
  <c r="R685" i="9"/>
  <c r="R684" i="9"/>
  <c r="R683" i="9"/>
  <c r="R682" i="9"/>
  <c r="R681" i="9"/>
  <c r="R680" i="9"/>
  <c r="R679" i="9"/>
  <c r="R678" i="9"/>
  <c r="R677" i="9"/>
  <c r="R676" i="9"/>
  <c r="R675" i="9"/>
  <c r="R674" i="9"/>
  <c r="R673" i="9"/>
  <c r="R672" i="9"/>
  <c r="R671" i="9"/>
  <c r="R670" i="9"/>
  <c r="R669" i="9"/>
  <c r="R668" i="9"/>
  <c r="R667" i="9"/>
  <c r="R666" i="9"/>
  <c r="R665" i="9"/>
  <c r="R664" i="9"/>
  <c r="R663" i="9"/>
  <c r="R662" i="9"/>
  <c r="R661" i="9"/>
  <c r="R660" i="9"/>
  <c r="R659" i="9"/>
  <c r="R658" i="9"/>
  <c r="R657" i="9"/>
  <c r="R656" i="9"/>
  <c r="R655" i="9"/>
  <c r="R654" i="9"/>
  <c r="R653" i="9"/>
  <c r="R652" i="9"/>
  <c r="R651" i="9"/>
  <c r="R650" i="9"/>
  <c r="R649" i="9"/>
  <c r="R648" i="9"/>
  <c r="R647" i="9"/>
  <c r="R646" i="9"/>
  <c r="R645" i="9"/>
  <c r="R644" i="9"/>
  <c r="R643" i="9"/>
  <c r="R642" i="9"/>
  <c r="R641" i="9"/>
  <c r="R640" i="9"/>
  <c r="R639" i="9"/>
  <c r="R638" i="9"/>
  <c r="R637" i="9"/>
  <c r="R636" i="9"/>
  <c r="R635" i="9"/>
  <c r="R634" i="9"/>
  <c r="R633" i="9"/>
  <c r="R632" i="9"/>
  <c r="R631" i="9"/>
  <c r="R630" i="9"/>
  <c r="R629" i="9"/>
  <c r="R628" i="9"/>
  <c r="R627" i="9"/>
  <c r="R626" i="9"/>
  <c r="R625" i="9"/>
  <c r="R624" i="9"/>
  <c r="R623" i="9"/>
  <c r="R622" i="9"/>
  <c r="R621" i="9"/>
  <c r="R620" i="9"/>
  <c r="R619" i="9"/>
  <c r="R618" i="9"/>
  <c r="R617" i="9"/>
  <c r="R616" i="9"/>
  <c r="R615" i="9"/>
  <c r="R614" i="9"/>
  <c r="R613" i="9"/>
  <c r="R612" i="9"/>
  <c r="R611" i="9"/>
  <c r="R610" i="9"/>
  <c r="R609" i="9"/>
  <c r="R608" i="9"/>
  <c r="R607" i="9"/>
  <c r="R606" i="9"/>
  <c r="R605" i="9"/>
  <c r="R604" i="9"/>
  <c r="R603" i="9"/>
  <c r="R602" i="9"/>
  <c r="R601" i="9"/>
  <c r="R600" i="9"/>
  <c r="R599" i="9"/>
  <c r="R598" i="9"/>
  <c r="R597" i="9"/>
  <c r="R596" i="9"/>
  <c r="R595" i="9"/>
  <c r="R594" i="9"/>
  <c r="R593" i="9"/>
  <c r="R592" i="9"/>
  <c r="R591" i="9"/>
  <c r="R590" i="9"/>
  <c r="R589" i="9"/>
  <c r="R588" i="9"/>
  <c r="R587" i="9"/>
  <c r="R586" i="9"/>
  <c r="R585" i="9"/>
  <c r="R584" i="9"/>
  <c r="R583" i="9"/>
  <c r="R582" i="9"/>
  <c r="R581" i="9"/>
  <c r="R580" i="9"/>
  <c r="R579" i="9"/>
  <c r="R578" i="9"/>
  <c r="R577" i="9"/>
  <c r="R576" i="9"/>
  <c r="R575" i="9"/>
  <c r="R574" i="9"/>
  <c r="R573" i="9"/>
  <c r="R572" i="9"/>
  <c r="R571" i="9"/>
  <c r="R570" i="9"/>
  <c r="R569" i="9"/>
  <c r="R568" i="9"/>
  <c r="R567" i="9"/>
  <c r="R566" i="9"/>
  <c r="R565" i="9"/>
  <c r="R564" i="9"/>
  <c r="R563" i="9"/>
  <c r="R562" i="9"/>
  <c r="R561" i="9"/>
  <c r="R560" i="9"/>
  <c r="R559" i="9"/>
  <c r="R558" i="9"/>
  <c r="R557" i="9"/>
  <c r="R556" i="9"/>
  <c r="R555" i="9"/>
  <c r="R554" i="9"/>
  <c r="R553" i="9"/>
  <c r="R552" i="9"/>
  <c r="R551" i="9"/>
  <c r="R550" i="9"/>
  <c r="R549" i="9"/>
  <c r="R548" i="9"/>
  <c r="R547" i="9"/>
  <c r="R546" i="9"/>
  <c r="R545" i="9"/>
  <c r="R544" i="9"/>
  <c r="R543" i="9"/>
  <c r="R542" i="9"/>
  <c r="R541" i="9"/>
  <c r="R540" i="9"/>
  <c r="R539" i="9"/>
  <c r="R538" i="9"/>
  <c r="R537" i="9"/>
  <c r="R536" i="9"/>
  <c r="R535" i="9"/>
  <c r="R534" i="9"/>
  <c r="R533" i="9"/>
  <c r="R532" i="9"/>
  <c r="R531" i="9"/>
  <c r="R530" i="9"/>
  <c r="R529" i="9"/>
  <c r="R528" i="9"/>
  <c r="R527" i="9"/>
  <c r="R526" i="9"/>
  <c r="R525" i="9"/>
  <c r="R524" i="9"/>
  <c r="R523" i="9"/>
  <c r="R522" i="9"/>
  <c r="R521" i="9"/>
  <c r="R520" i="9"/>
  <c r="R519" i="9"/>
  <c r="R518" i="9"/>
  <c r="R517" i="9"/>
  <c r="R516" i="9"/>
  <c r="R515" i="9"/>
  <c r="R514" i="9"/>
  <c r="R513" i="9"/>
  <c r="R512" i="9"/>
  <c r="R511" i="9"/>
  <c r="R510" i="9"/>
  <c r="R509" i="9"/>
  <c r="R508" i="9"/>
  <c r="R507" i="9"/>
  <c r="R506" i="9"/>
  <c r="R505" i="9"/>
  <c r="R504" i="9"/>
  <c r="R503" i="9"/>
  <c r="R502" i="9"/>
  <c r="R501" i="9"/>
  <c r="R500" i="9"/>
  <c r="R499" i="9"/>
  <c r="R498" i="9"/>
  <c r="R497" i="9"/>
  <c r="R496" i="9"/>
  <c r="R495" i="9"/>
  <c r="R494" i="9"/>
  <c r="R493" i="9"/>
  <c r="R492" i="9"/>
  <c r="R491" i="9"/>
  <c r="R490" i="9"/>
  <c r="R489" i="9"/>
  <c r="R488" i="9"/>
  <c r="R487" i="9"/>
  <c r="R486" i="9"/>
  <c r="R485" i="9"/>
  <c r="R484" i="9"/>
  <c r="R483" i="9"/>
  <c r="R482" i="9"/>
  <c r="R481" i="9"/>
  <c r="R480" i="9"/>
  <c r="R479" i="9"/>
  <c r="R478" i="9"/>
  <c r="R477" i="9"/>
  <c r="R476" i="9"/>
  <c r="R475" i="9"/>
  <c r="R474" i="9"/>
  <c r="R473" i="9"/>
  <c r="R472" i="9"/>
  <c r="R471" i="9"/>
  <c r="R470" i="9"/>
  <c r="R469" i="9"/>
  <c r="R468" i="9"/>
  <c r="R467" i="9"/>
  <c r="R466" i="9"/>
  <c r="R465" i="9"/>
  <c r="R464" i="9"/>
  <c r="R463" i="9"/>
  <c r="R462" i="9"/>
  <c r="R461" i="9"/>
  <c r="R460" i="9"/>
  <c r="R459" i="9"/>
  <c r="R458" i="9"/>
  <c r="R457" i="9"/>
  <c r="R456" i="9"/>
  <c r="R455" i="9"/>
  <c r="R454" i="9"/>
  <c r="R453" i="9"/>
  <c r="R452" i="9"/>
  <c r="R451" i="9"/>
  <c r="R450" i="9"/>
  <c r="R449" i="9"/>
  <c r="R448" i="9"/>
  <c r="R447" i="9"/>
  <c r="R446" i="9"/>
  <c r="R445" i="9"/>
  <c r="R444" i="9"/>
  <c r="R443" i="9"/>
  <c r="R442" i="9"/>
  <c r="R441" i="9"/>
  <c r="R440" i="9"/>
  <c r="R439" i="9"/>
  <c r="R438" i="9"/>
  <c r="R437" i="9"/>
  <c r="R436" i="9"/>
  <c r="R435" i="9"/>
  <c r="R434" i="9"/>
  <c r="R433" i="9"/>
  <c r="R432" i="9"/>
  <c r="R431" i="9"/>
  <c r="R430" i="9"/>
  <c r="R429" i="9"/>
  <c r="R428" i="9"/>
  <c r="R427" i="9"/>
  <c r="R426" i="9"/>
  <c r="R425" i="9"/>
  <c r="R424" i="9"/>
  <c r="R423" i="9"/>
  <c r="R422" i="9"/>
  <c r="R421" i="9"/>
  <c r="R420" i="9"/>
  <c r="R419" i="9"/>
  <c r="R418" i="9"/>
  <c r="R417" i="9"/>
  <c r="R416" i="9"/>
  <c r="R415" i="9"/>
  <c r="R414" i="9"/>
  <c r="R413" i="9"/>
  <c r="R412" i="9"/>
  <c r="R411" i="9"/>
  <c r="R410" i="9"/>
  <c r="R409" i="9"/>
  <c r="R408" i="9"/>
  <c r="R407" i="9"/>
  <c r="R406" i="9"/>
  <c r="R405" i="9"/>
  <c r="R404" i="9"/>
  <c r="R403" i="9"/>
  <c r="R402" i="9"/>
  <c r="R401" i="9"/>
  <c r="R400" i="9"/>
  <c r="R399" i="9"/>
  <c r="R398" i="9"/>
  <c r="R397" i="9"/>
  <c r="R396" i="9"/>
  <c r="R395" i="9"/>
  <c r="R394" i="9"/>
  <c r="R393" i="9"/>
  <c r="R392" i="9"/>
  <c r="R391" i="9"/>
  <c r="R390" i="9"/>
  <c r="R389" i="9"/>
  <c r="R388" i="9"/>
  <c r="R387" i="9"/>
  <c r="R386" i="9"/>
  <c r="R385" i="9"/>
  <c r="R384" i="9"/>
  <c r="R383" i="9"/>
  <c r="R382" i="9"/>
  <c r="R381" i="9"/>
  <c r="R380" i="9"/>
  <c r="R379" i="9"/>
  <c r="R378" i="9"/>
  <c r="R377" i="9"/>
  <c r="R376" i="9"/>
  <c r="R375" i="9"/>
  <c r="R374" i="9"/>
  <c r="R373" i="9"/>
  <c r="R372" i="9"/>
  <c r="R371" i="9"/>
  <c r="R370" i="9"/>
  <c r="R369" i="9"/>
  <c r="R368" i="9"/>
  <c r="R367" i="9"/>
  <c r="R366" i="9"/>
  <c r="R365" i="9"/>
  <c r="R364" i="9"/>
  <c r="R363" i="9"/>
  <c r="R362" i="9"/>
  <c r="R361" i="9"/>
  <c r="R360" i="9"/>
  <c r="R359" i="9"/>
  <c r="R358" i="9"/>
  <c r="R357" i="9"/>
  <c r="R356" i="9"/>
  <c r="R355" i="9"/>
  <c r="R354" i="9"/>
  <c r="R353" i="9"/>
  <c r="R352" i="9"/>
  <c r="R351" i="9"/>
  <c r="R350" i="9"/>
  <c r="R349" i="9"/>
  <c r="R348" i="9"/>
  <c r="R347" i="9"/>
  <c r="R346" i="9"/>
  <c r="R345" i="9"/>
  <c r="R344" i="9"/>
  <c r="R343" i="9"/>
  <c r="R342" i="9"/>
  <c r="R341" i="9"/>
  <c r="R340" i="9"/>
  <c r="R339" i="9"/>
  <c r="R338" i="9"/>
  <c r="R337" i="9"/>
  <c r="R336" i="9"/>
  <c r="R335" i="9"/>
  <c r="R334" i="9"/>
  <c r="R333" i="9"/>
  <c r="R332" i="9"/>
  <c r="R331" i="9"/>
  <c r="R330" i="9"/>
  <c r="R329" i="9"/>
  <c r="R328" i="9"/>
  <c r="R327" i="9"/>
  <c r="R326" i="9"/>
  <c r="R325" i="9"/>
  <c r="R324" i="9"/>
  <c r="R323" i="9"/>
  <c r="R322" i="9"/>
  <c r="R321" i="9"/>
  <c r="R320" i="9"/>
  <c r="R319" i="9"/>
  <c r="R318" i="9"/>
  <c r="R317" i="9"/>
  <c r="R316" i="9"/>
  <c r="R315" i="9"/>
  <c r="R314" i="9"/>
  <c r="R313" i="9"/>
  <c r="R312" i="9"/>
  <c r="R311" i="9"/>
  <c r="R310" i="9"/>
  <c r="R309" i="9"/>
  <c r="R308" i="9"/>
  <c r="R307" i="9"/>
  <c r="R306" i="9"/>
  <c r="R305" i="9"/>
  <c r="R304" i="9"/>
  <c r="R303" i="9"/>
  <c r="R302" i="9"/>
  <c r="R301" i="9"/>
  <c r="R300" i="9"/>
  <c r="R299" i="9"/>
  <c r="R298" i="9"/>
  <c r="R297" i="9"/>
  <c r="R296" i="9"/>
  <c r="R295" i="9"/>
  <c r="R294" i="9"/>
  <c r="R293" i="9"/>
  <c r="R292" i="9"/>
  <c r="R291" i="9"/>
  <c r="R290" i="9"/>
  <c r="R289" i="9"/>
  <c r="R288" i="9"/>
  <c r="R287" i="9"/>
  <c r="R286" i="9"/>
  <c r="R285" i="9"/>
  <c r="R284" i="9"/>
  <c r="R283" i="9"/>
  <c r="R282" i="9"/>
  <c r="R281" i="9"/>
  <c r="R280" i="9"/>
  <c r="R279" i="9"/>
  <c r="R278" i="9"/>
  <c r="R277" i="9"/>
  <c r="R276" i="9"/>
  <c r="R275" i="9"/>
  <c r="R274" i="9"/>
  <c r="R273" i="9"/>
  <c r="R272" i="9"/>
  <c r="R271" i="9"/>
  <c r="R270" i="9"/>
  <c r="R269" i="9"/>
  <c r="R268" i="9"/>
  <c r="R267" i="9"/>
  <c r="R266" i="9"/>
  <c r="R265" i="9"/>
  <c r="R264" i="9"/>
  <c r="R263" i="9"/>
  <c r="R262" i="9"/>
  <c r="R261" i="9"/>
  <c r="R260" i="9"/>
  <c r="R259" i="9"/>
  <c r="R258" i="9"/>
  <c r="R257" i="9"/>
  <c r="R256" i="9"/>
  <c r="R255" i="9"/>
  <c r="R254" i="9"/>
  <c r="R253" i="9"/>
  <c r="R252" i="9"/>
  <c r="R251" i="9"/>
  <c r="R250" i="9"/>
  <c r="R249" i="9"/>
  <c r="R248" i="9"/>
  <c r="R247" i="9"/>
  <c r="R246" i="9"/>
  <c r="R245" i="9"/>
  <c r="R244" i="9"/>
  <c r="R243" i="9"/>
  <c r="R242" i="9"/>
  <c r="R241" i="9"/>
  <c r="R240" i="9"/>
  <c r="R239" i="9"/>
  <c r="R238" i="9"/>
  <c r="R237" i="9"/>
  <c r="R236" i="9"/>
  <c r="R235" i="9"/>
  <c r="R234" i="9"/>
  <c r="R233" i="9"/>
  <c r="R232" i="9"/>
  <c r="R231" i="9"/>
  <c r="R230" i="9"/>
  <c r="R229" i="9"/>
  <c r="R228" i="9"/>
  <c r="R227" i="9"/>
  <c r="R226" i="9"/>
  <c r="R225" i="9"/>
  <c r="R224" i="9"/>
  <c r="Q65" i="9"/>
  <c r="Q66" i="9" s="1"/>
  <c r="Q67" i="9" s="1"/>
  <c r="Q68" i="9" s="1"/>
  <c r="Q69" i="9" s="1"/>
  <c r="Q70" i="9" s="1"/>
  <c r="Q71" i="9" s="1"/>
  <c r="Q72" i="9" s="1"/>
  <c r="Q73" i="9" s="1"/>
  <c r="Q74" i="9" s="1"/>
  <c r="Q75" i="9" s="1"/>
  <c r="Q76" i="9" s="1"/>
  <c r="Q77" i="9" s="1"/>
  <c r="Q78" i="9" s="1"/>
  <c r="Q79" i="9" s="1"/>
  <c r="Q80" i="9" s="1"/>
  <c r="Q81" i="9" s="1"/>
  <c r="Q82" i="9" s="1"/>
  <c r="Q83" i="9" s="1"/>
  <c r="Q84" i="9" s="1"/>
  <c r="Q85" i="9" s="1"/>
  <c r="Q86" i="9" s="1"/>
  <c r="Q87" i="9" s="1"/>
  <c r="Q88" i="9" s="1"/>
  <c r="Q89" i="9" s="1"/>
  <c r="Q90" i="9" s="1"/>
  <c r="Q91" i="9" s="1"/>
  <c r="Q92" i="9" s="1"/>
  <c r="Q93" i="9" s="1"/>
  <c r="Q94" i="9" s="1"/>
  <c r="Q95" i="9" s="1"/>
  <c r="Q96" i="9" s="1"/>
  <c r="Q97" i="9" s="1"/>
  <c r="Q98" i="9" s="1"/>
  <c r="Q99" i="9" s="1"/>
  <c r="Q100" i="9" s="1"/>
  <c r="Q101" i="9" s="1"/>
  <c r="Q102" i="9" s="1"/>
  <c r="Q103" i="9" s="1"/>
  <c r="Q104" i="9" s="1"/>
  <c r="Q105" i="9" s="1"/>
  <c r="Q106" i="9" s="1"/>
  <c r="Q107" i="9" s="1"/>
  <c r="Q108" i="9" s="1"/>
  <c r="Q109" i="9" s="1"/>
  <c r="Q110" i="9" s="1"/>
  <c r="Q111" i="9" s="1"/>
  <c r="Q112" i="9" s="1"/>
  <c r="Q113" i="9" s="1"/>
  <c r="Q114" i="9" s="1"/>
  <c r="Q115" i="9" s="1"/>
  <c r="Q116" i="9" s="1"/>
  <c r="Q117" i="9" s="1"/>
  <c r="Q118" i="9" s="1"/>
  <c r="Q119" i="9" s="1"/>
  <c r="Q120" i="9" s="1"/>
  <c r="Q121" i="9" s="1"/>
  <c r="Q122" i="9" s="1"/>
  <c r="Q123" i="9" s="1"/>
  <c r="Q124" i="9" s="1"/>
  <c r="Q125" i="9" s="1"/>
  <c r="Q126" i="9" s="1"/>
  <c r="Q127" i="9" s="1"/>
  <c r="Q128" i="9" s="1"/>
  <c r="Q129" i="9" s="1"/>
  <c r="Q130" i="9" s="1"/>
  <c r="Q131" i="9" s="1"/>
  <c r="Q132" i="9" s="1"/>
  <c r="Q133" i="9" s="1"/>
  <c r="Q134" i="9" s="1"/>
  <c r="Q135" i="9" s="1"/>
  <c r="Q136" i="9" s="1"/>
  <c r="Q137" i="9" s="1"/>
  <c r="Q138" i="9" s="1"/>
  <c r="Q139" i="9" s="1"/>
  <c r="Q140" i="9" s="1"/>
  <c r="Q141" i="9" s="1"/>
  <c r="Q142" i="9" s="1"/>
  <c r="Q143" i="9" s="1"/>
  <c r="Q144" i="9" s="1"/>
  <c r="Q145" i="9" s="1"/>
  <c r="Q146" i="9" s="1"/>
  <c r="Q147" i="9" s="1"/>
  <c r="Q148" i="9" s="1"/>
  <c r="Q149" i="9" s="1"/>
  <c r="Q150" i="9" s="1"/>
  <c r="Q151" i="9" s="1"/>
  <c r="Q152" i="9" s="1"/>
  <c r="Q153" i="9" s="1"/>
  <c r="Q154" i="9" s="1"/>
  <c r="Q155" i="9" s="1"/>
  <c r="Q156" i="9" s="1"/>
  <c r="Q157" i="9" s="1"/>
  <c r="Q158" i="9" s="1"/>
  <c r="Q159" i="9" s="1"/>
  <c r="Q160" i="9" s="1"/>
  <c r="Q161" i="9" s="1"/>
  <c r="Q162" i="9" s="1"/>
  <c r="Q163" i="9" s="1"/>
  <c r="Q164" i="9" s="1"/>
  <c r="Q165" i="9" s="1"/>
  <c r="Q166" i="9" s="1"/>
  <c r="Q167" i="9" s="1"/>
  <c r="Q168" i="9" s="1"/>
  <c r="Q169" i="9" s="1"/>
  <c r="Q170" i="9" s="1"/>
  <c r="Q171" i="9" s="1"/>
  <c r="Q172" i="9" s="1"/>
  <c r="Q173" i="9" s="1"/>
  <c r="Q174" i="9" s="1"/>
  <c r="Q175" i="9" s="1"/>
  <c r="Q176" i="9" s="1"/>
  <c r="Q177" i="9" s="1"/>
  <c r="Q178" i="9" s="1"/>
  <c r="Q179" i="9" s="1"/>
  <c r="Q180" i="9" s="1"/>
  <c r="Q181" i="9" s="1"/>
  <c r="Q182" i="9" s="1"/>
  <c r="Q183" i="9" s="1"/>
  <c r="Q184" i="9" s="1"/>
  <c r="Q185" i="9" s="1"/>
  <c r="Q186" i="9" s="1"/>
  <c r="Q187" i="9" s="1"/>
  <c r="Q188" i="9" s="1"/>
  <c r="Q189" i="9" s="1"/>
  <c r="Q190" i="9" s="1"/>
  <c r="Q191" i="9" s="1"/>
  <c r="Q192" i="9" s="1"/>
  <c r="Q193" i="9" s="1"/>
  <c r="Q194" i="9" s="1"/>
  <c r="Q195" i="9" s="1"/>
  <c r="Q196" i="9" s="1"/>
  <c r="Q197" i="9" s="1"/>
  <c r="Q198" i="9" s="1"/>
  <c r="Q199" i="9" s="1"/>
  <c r="Q200" i="9" s="1"/>
  <c r="Q201" i="9" s="1"/>
  <c r="Q202" i="9" s="1"/>
  <c r="Q203" i="9" s="1"/>
  <c r="Q204" i="9" s="1"/>
  <c r="Q205" i="9" s="1"/>
  <c r="Q206" i="9" s="1"/>
  <c r="Q207" i="9" s="1"/>
  <c r="Q208" i="9" s="1"/>
  <c r="Q209" i="9" s="1"/>
  <c r="Q210" i="9" s="1"/>
  <c r="Q211" i="9" s="1"/>
  <c r="Q212" i="9" s="1"/>
  <c r="Q213" i="9" s="1"/>
  <c r="Q214" i="9" s="1"/>
  <c r="Q215" i="9" s="1"/>
  <c r="Q216" i="9" s="1"/>
  <c r="Q217" i="9" s="1"/>
  <c r="Q218" i="9" s="1"/>
  <c r="Q219" i="9" s="1"/>
  <c r="Q220" i="9" s="1"/>
  <c r="Q221" i="9" s="1"/>
  <c r="Q222" i="9" s="1"/>
  <c r="Q223" i="9" s="1"/>
  <c r="Q224" i="9" s="1"/>
  <c r="Q225" i="9" s="1"/>
  <c r="Q226" i="9" s="1"/>
  <c r="Q227" i="9" s="1"/>
  <c r="Q228" i="9" s="1"/>
  <c r="Q229" i="9" s="1"/>
  <c r="Q230" i="9" s="1"/>
  <c r="Q231" i="9" s="1"/>
  <c r="Q232" i="9" s="1"/>
  <c r="Q233" i="9" s="1"/>
  <c r="Q234" i="9" s="1"/>
  <c r="Q235" i="9" s="1"/>
  <c r="Q236" i="9" s="1"/>
  <c r="Q237" i="9" s="1"/>
  <c r="Q238" i="9" s="1"/>
  <c r="Q239" i="9" s="1"/>
  <c r="Q240" i="9" s="1"/>
  <c r="Q241" i="9" s="1"/>
  <c r="Q242" i="9" s="1"/>
  <c r="Q243" i="9" s="1"/>
  <c r="Q244" i="9" s="1"/>
  <c r="Q245" i="9" s="1"/>
  <c r="Q246" i="9" s="1"/>
  <c r="Q247" i="9" s="1"/>
  <c r="Q248" i="9" s="1"/>
  <c r="Q249" i="9" s="1"/>
  <c r="Q250" i="9" s="1"/>
  <c r="Q251" i="9" s="1"/>
  <c r="Q252" i="9" s="1"/>
  <c r="Q253" i="9" s="1"/>
  <c r="Q254" i="9" s="1"/>
  <c r="Q255" i="9" s="1"/>
  <c r="Q256" i="9" s="1"/>
  <c r="Q257" i="9" s="1"/>
  <c r="Q258" i="9" s="1"/>
  <c r="Q259" i="9" s="1"/>
  <c r="Q260" i="9" s="1"/>
  <c r="Q261" i="9" s="1"/>
  <c r="Q262" i="9" s="1"/>
  <c r="Q263" i="9" s="1"/>
  <c r="Q264" i="9" s="1"/>
  <c r="Q265" i="9" s="1"/>
  <c r="Q266" i="9" s="1"/>
  <c r="Q267" i="9" s="1"/>
  <c r="Q268" i="9" s="1"/>
  <c r="Q269" i="9" s="1"/>
  <c r="Q270" i="9" s="1"/>
  <c r="Q271" i="9" s="1"/>
  <c r="Q272" i="9" s="1"/>
  <c r="Q273" i="9" s="1"/>
  <c r="Q274" i="9" s="1"/>
  <c r="Q275" i="9" s="1"/>
  <c r="Q276" i="9" s="1"/>
  <c r="Q277" i="9" s="1"/>
  <c r="Q278" i="9" s="1"/>
  <c r="Q279" i="9" s="1"/>
  <c r="Q280" i="9" s="1"/>
  <c r="Q281" i="9" s="1"/>
  <c r="Q282" i="9" s="1"/>
  <c r="Q283" i="9" s="1"/>
  <c r="Q284" i="9" s="1"/>
  <c r="Q285" i="9" s="1"/>
  <c r="Q286" i="9" s="1"/>
  <c r="Q287" i="9" s="1"/>
  <c r="Q288" i="9" s="1"/>
  <c r="Q289" i="9" s="1"/>
  <c r="Q290" i="9" s="1"/>
  <c r="Q291" i="9" s="1"/>
  <c r="Q292" i="9" s="1"/>
  <c r="Q293" i="9" s="1"/>
  <c r="Q294" i="9" s="1"/>
  <c r="Q295" i="9" s="1"/>
  <c r="Q296" i="9" s="1"/>
  <c r="Q297" i="9" s="1"/>
  <c r="Q298" i="9" s="1"/>
  <c r="Q299" i="9" s="1"/>
  <c r="Q300" i="9" s="1"/>
  <c r="Q301" i="9" s="1"/>
  <c r="Q302" i="9" s="1"/>
  <c r="Q303" i="9" s="1"/>
  <c r="Q304" i="9" s="1"/>
  <c r="Q305" i="9" s="1"/>
  <c r="Q306" i="9" s="1"/>
  <c r="Q307" i="9" s="1"/>
  <c r="Q308" i="9" s="1"/>
  <c r="Q309" i="9" s="1"/>
  <c r="Q310" i="9" s="1"/>
  <c r="Q311" i="9" s="1"/>
  <c r="Q312" i="9" s="1"/>
  <c r="Q313" i="9" s="1"/>
  <c r="Q314" i="9" s="1"/>
  <c r="Q315" i="9" s="1"/>
  <c r="Q316" i="9" s="1"/>
  <c r="Q317" i="9" s="1"/>
  <c r="Q318" i="9" s="1"/>
  <c r="Q319" i="9" s="1"/>
  <c r="Q320" i="9" s="1"/>
  <c r="Q321" i="9" s="1"/>
  <c r="Q322" i="9" s="1"/>
  <c r="Q323" i="9" s="1"/>
  <c r="Q324" i="9" s="1"/>
  <c r="Q325" i="9" s="1"/>
  <c r="Q326" i="9" s="1"/>
  <c r="Q327" i="9" s="1"/>
  <c r="Q328" i="9" s="1"/>
  <c r="Q329" i="9" s="1"/>
  <c r="Q330" i="9" s="1"/>
  <c r="Q331" i="9" s="1"/>
  <c r="Q332" i="9" s="1"/>
  <c r="Q333" i="9" s="1"/>
  <c r="Q334" i="9" s="1"/>
  <c r="Q335" i="9" s="1"/>
  <c r="Q336" i="9" s="1"/>
  <c r="Q337" i="9" s="1"/>
  <c r="Q338" i="9" s="1"/>
  <c r="Q339" i="9" s="1"/>
  <c r="Q340" i="9" s="1"/>
  <c r="Q341" i="9" s="1"/>
  <c r="Q342" i="9" s="1"/>
  <c r="Q343" i="9" s="1"/>
  <c r="Q344" i="9" s="1"/>
  <c r="Q345" i="9" s="1"/>
  <c r="Q346" i="9" s="1"/>
  <c r="Q347" i="9" s="1"/>
  <c r="Q348" i="9" s="1"/>
  <c r="Q349" i="9" s="1"/>
  <c r="Q350" i="9" s="1"/>
  <c r="Q351" i="9" s="1"/>
  <c r="Q352" i="9" s="1"/>
  <c r="Q353" i="9" s="1"/>
  <c r="Q354" i="9" s="1"/>
  <c r="Q355" i="9" s="1"/>
  <c r="Q356" i="9" s="1"/>
  <c r="Q357" i="9" s="1"/>
  <c r="Q358" i="9" s="1"/>
  <c r="Q359" i="9" s="1"/>
  <c r="Q360" i="9" s="1"/>
  <c r="Q361" i="9" s="1"/>
  <c r="Q362" i="9" s="1"/>
  <c r="Q363" i="9" s="1"/>
  <c r="Q364" i="9" s="1"/>
  <c r="Q365" i="9" s="1"/>
  <c r="Q366" i="9" s="1"/>
  <c r="Q367" i="9" s="1"/>
  <c r="Q368" i="9" s="1"/>
  <c r="Q369" i="9" s="1"/>
  <c r="Q370" i="9" s="1"/>
  <c r="Q371" i="9" s="1"/>
  <c r="Q372" i="9" s="1"/>
  <c r="Q373" i="9" s="1"/>
  <c r="Q374" i="9" s="1"/>
  <c r="Q375" i="9" s="1"/>
  <c r="Q376" i="9" s="1"/>
  <c r="Q377" i="9" s="1"/>
  <c r="Q378" i="9" s="1"/>
  <c r="Q379" i="9" s="1"/>
  <c r="Q380" i="9" s="1"/>
  <c r="Q381" i="9" s="1"/>
  <c r="Q382" i="9" s="1"/>
  <c r="Q383" i="9" s="1"/>
  <c r="Q384" i="9" s="1"/>
  <c r="Q385" i="9" s="1"/>
  <c r="Q386" i="9" s="1"/>
  <c r="Q387" i="9" s="1"/>
  <c r="Q388" i="9" s="1"/>
  <c r="Q389" i="9" s="1"/>
  <c r="Q390" i="9" s="1"/>
  <c r="Q391" i="9" s="1"/>
  <c r="Q392" i="9" s="1"/>
  <c r="Q393" i="9" s="1"/>
  <c r="Q394" i="9" s="1"/>
  <c r="Q395" i="9" s="1"/>
  <c r="Q396" i="9" s="1"/>
  <c r="Q397" i="9" s="1"/>
  <c r="Q398" i="9" s="1"/>
  <c r="Q399" i="9" s="1"/>
  <c r="Q400" i="9" s="1"/>
  <c r="Q401" i="9" s="1"/>
  <c r="Q402" i="9" s="1"/>
  <c r="Q403" i="9" s="1"/>
  <c r="Q404" i="9" s="1"/>
  <c r="Q405" i="9" s="1"/>
  <c r="Q406" i="9" s="1"/>
  <c r="Q407" i="9" s="1"/>
  <c r="Q408" i="9" s="1"/>
  <c r="Q409" i="9" s="1"/>
  <c r="Q410" i="9" s="1"/>
  <c r="Q411" i="9" s="1"/>
  <c r="Q412" i="9" s="1"/>
  <c r="Q413" i="9" s="1"/>
  <c r="Q414" i="9" s="1"/>
  <c r="Q415" i="9" s="1"/>
  <c r="Q416" i="9" s="1"/>
  <c r="Q417" i="9" s="1"/>
  <c r="Q418" i="9" s="1"/>
  <c r="Q419" i="9" s="1"/>
  <c r="Q420" i="9" s="1"/>
  <c r="Q421" i="9" s="1"/>
  <c r="Q422" i="9" s="1"/>
  <c r="Q423" i="9" s="1"/>
  <c r="Q424" i="9" s="1"/>
  <c r="Q425" i="9" s="1"/>
  <c r="Q426" i="9" s="1"/>
  <c r="Q427" i="9" s="1"/>
  <c r="Q428" i="9" s="1"/>
  <c r="Q429" i="9" s="1"/>
  <c r="Q430" i="9" s="1"/>
  <c r="Q431" i="9" s="1"/>
  <c r="Q432" i="9" s="1"/>
  <c r="Q433" i="9" s="1"/>
  <c r="Q434" i="9" s="1"/>
  <c r="Q435" i="9" s="1"/>
  <c r="Q436" i="9" s="1"/>
  <c r="Q437" i="9" s="1"/>
  <c r="Q438" i="9" s="1"/>
  <c r="Q439" i="9" s="1"/>
  <c r="Q440" i="9" s="1"/>
  <c r="Q441" i="9" s="1"/>
  <c r="Q442" i="9" s="1"/>
  <c r="Q443" i="9" s="1"/>
  <c r="Q444" i="9" s="1"/>
  <c r="Q445" i="9" s="1"/>
  <c r="Q446" i="9" s="1"/>
  <c r="Q447" i="9" s="1"/>
  <c r="Q448" i="9" s="1"/>
  <c r="Q449" i="9" s="1"/>
  <c r="Q450" i="9" s="1"/>
  <c r="Q451" i="9" s="1"/>
  <c r="Q452" i="9" s="1"/>
  <c r="Q453" i="9" s="1"/>
  <c r="Q454" i="9" s="1"/>
  <c r="Q455" i="9" s="1"/>
  <c r="Q456" i="9" s="1"/>
  <c r="Q457" i="9" s="1"/>
  <c r="Q458" i="9" s="1"/>
  <c r="Q459" i="9" s="1"/>
  <c r="Q460" i="9" s="1"/>
  <c r="Q461" i="9" s="1"/>
  <c r="Q462" i="9" s="1"/>
  <c r="Q463" i="9" s="1"/>
  <c r="Q464" i="9" s="1"/>
  <c r="Q465" i="9" s="1"/>
  <c r="Q466" i="9" s="1"/>
  <c r="Q467" i="9" s="1"/>
  <c r="Q468" i="9" s="1"/>
  <c r="Q469" i="9" s="1"/>
  <c r="Q470" i="9" s="1"/>
  <c r="Q471" i="9" s="1"/>
  <c r="Q472" i="9" s="1"/>
  <c r="Q473" i="9" s="1"/>
  <c r="Q474" i="9" s="1"/>
  <c r="Q475" i="9" s="1"/>
  <c r="Q476" i="9" s="1"/>
  <c r="Q477" i="9" s="1"/>
  <c r="Q478" i="9" s="1"/>
  <c r="Q479" i="9" s="1"/>
  <c r="Q480" i="9" s="1"/>
  <c r="Q481" i="9" s="1"/>
  <c r="Q482" i="9" s="1"/>
  <c r="Q483" i="9" s="1"/>
  <c r="Q484" i="9" s="1"/>
  <c r="Q485" i="9" s="1"/>
  <c r="Q486" i="9" s="1"/>
  <c r="Q487" i="9" s="1"/>
  <c r="Q488" i="9" s="1"/>
  <c r="Q489" i="9" s="1"/>
  <c r="Q490" i="9" s="1"/>
  <c r="Q491" i="9" s="1"/>
  <c r="Q492" i="9" s="1"/>
  <c r="Q493" i="9" s="1"/>
  <c r="Q494" i="9" s="1"/>
  <c r="Q495" i="9" s="1"/>
  <c r="Q496" i="9" s="1"/>
  <c r="Q497" i="9" s="1"/>
  <c r="Q498" i="9" s="1"/>
  <c r="Q499" i="9" s="1"/>
  <c r="Q500" i="9" s="1"/>
  <c r="Q501" i="9" s="1"/>
  <c r="Q502" i="9" s="1"/>
  <c r="Q503" i="9" s="1"/>
  <c r="Q504" i="9" s="1"/>
  <c r="Q505" i="9" s="1"/>
  <c r="Q506" i="9" s="1"/>
  <c r="Q507" i="9" s="1"/>
  <c r="Q508" i="9" s="1"/>
  <c r="Q509" i="9" s="1"/>
  <c r="Q510" i="9" s="1"/>
  <c r="Q511" i="9" s="1"/>
  <c r="Q512" i="9" s="1"/>
  <c r="Q513" i="9" s="1"/>
  <c r="Q514" i="9" s="1"/>
  <c r="Q515" i="9" s="1"/>
  <c r="Q516" i="9" s="1"/>
  <c r="Q517" i="9" s="1"/>
  <c r="Q518" i="9" s="1"/>
  <c r="Q519" i="9" s="1"/>
  <c r="Q520" i="9" s="1"/>
  <c r="Q521" i="9" s="1"/>
  <c r="Q522" i="9" s="1"/>
  <c r="Q523" i="9" s="1"/>
  <c r="Q524" i="9" s="1"/>
  <c r="Q525" i="9" s="1"/>
  <c r="Q526" i="9" s="1"/>
  <c r="Q527" i="9" s="1"/>
  <c r="Q528" i="9" s="1"/>
  <c r="Q529" i="9" s="1"/>
  <c r="Q530" i="9" s="1"/>
  <c r="Q531" i="9" s="1"/>
  <c r="Q532" i="9" s="1"/>
  <c r="Q533" i="9" s="1"/>
  <c r="Q534" i="9" s="1"/>
  <c r="Q535" i="9" s="1"/>
  <c r="Q536" i="9" s="1"/>
  <c r="Q537" i="9" s="1"/>
  <c r="Q538" i="9" s="1"/>
  <c r="Q539" i="9" s="1"/>
  <c r="Q540" i="9" s="1"/>
  <c r="Q541" i="9" s="1"/>
  <c r="Q542" i="9" s="1"/>
  <c r="Q543" i="9" s="1"/>
  <c r="Q544" i="9" s="1"/>
  <c r="Q545" i="9" s="1"/>
  <c r="Q546" i="9" s="1"/>
  <c r="Q547" i="9" s="1"/>
  <c r="Q548" i="9" s="1"/>
  <c r="Q549" i="9" s="1"/>
  <c r="Q550" i="9" s="1"/>
  <c r="Q551" i="9" s="1"/>
  <c r="Q552" i="9" s="1"/>
  <c r="Q553" i="9" s="1"/>
  <c r="Q554" i="9" s="1"/>
  <c r="Q555" i="9" s="1"/>
  <c r="Q556" i="9" s="1"/>
  <c r="Q557" i="9" s="1"/>
  <c r="Q558" i="9" s="1"/>
  <c r="Q559" i="9" s="1"/>
  <c r="Q560" i="9" s="1"/>
  <c r="Q561" i="9" s="1"/>
  <c r="Q562" i="9" s="1"/>
  <c r="Q563" i="9" s="1"/>
  <c r="Q564" i="9" s="1"/>
  <c r="Q565" i="9" s="1"/>
  <c r="Q566" i="9" s="1"/>
  <c r="Q567" i="9" s="1"/>
  <c r="Q568" i="9" s="1"/>
  <c r="Q569" i="9" s="1"/>
  <c r="Q570" i="9" s="1"/>
  <c r="Q571" i="9" s="1"/>
  <c r="Q572" i="9" s="1"/>
  <c r="Q573" i="9" s="1"/>
  <c r="Q574" i="9" s="1"/>
  <c r="Q575" i="9" s="1"/>
  <c r="Q576" i="9" s="1"/>
  <c r="Q577" i="9" s="1"/>
  <c r="Q578" i="9" s="1"/>
  <c r="Q579" i="9" s="1"/>
  <c r="Q580" i="9" s="1"/>
  <c r="Q581" i="9" s="1"/>
  <c r="Q582" i="9" s="1"/>
  <c r="Q583" i="9" s="1"/>
  <c r="Q584" i="9" s="1"/>
  <c r="Q585" i="9" s="1"/>
  <c r="Q586" i="9" s="1"/>
  <c r="Q587" i="9" s="1"/>
  <c r="Q588" i="9" s="1"/>
  <c r="Q589" i="9" s="1"/>
  <c r="Q590" i="9" s="1"/>
  <c r="Q591" i="9" s="1"/>
  <c r="Q592" i="9" s="1"/>
  <c r="Q593" i="9" s="1"/>
  <c r="Q594" i="9" s="1"/>
  <c r="Q595" i="9" s="1"/>
  <c r="Q596" i="9" s="1"/>
  <c r="Q597" i="9" s="1"/>
  <c r="Q598" i="9" s="1"/>
  <c r="Q599" i="9" s="1"/>
  <c r="Q600" i="9" s="1"/>
  <c r="Q601" i="9" s="1"/>
  <c r="Q602" i="9" s="1"/>
  <c r="Q603" i="9" s="1"/>
  <c r="Q604" i="9" s="1"/>
  <c r="Q605" i="9" s="1"/>
  <c r="Q606" i="9" s="1"/>
  <c r="Q607" i="9" s="1"/>
  <c r="Q608" i="9" s="1"/>
  <c r="Q609" i="9" s="1"/>
  <c r="Q610" i="9" s="1"/>
  <c r="Q611" i="9" s="1"/>
  <c r="Q612" i="9" s="1"/>
  <c r="Q613" i="9" s="1"/>
  <c r="Q614" i="9" s="1"/>
  <c r="Q615" i="9" s="1"/>
  <c r="Q616" i="9" s="1"/>
  <c r="Q617" i="9" s="1"/>
  <c r="Q618" i="9" s="1"/>
  <c r="Q619" i="9" s="1"/>
  <c r="Q620" i="9" s="1"/>
  <c r="Q621" i="9" s="1"/>
  <c r="Q622" i="9" s="1"/>
  <c r="Q623" i="9" s="1"/>
  <c r="Q624" i="9" s="1"/>
  <c r="Q625" i="9" s="1"/>
  <c r="Q626" i="9" s="1"/>
  <c r="Q627" i="9" s="1"/>
  <c r="Q628" i="9" s="1"/>
  <c r="Q629" i="9" s="1"/>
  <c r="Q630" i="9" s="1"/>
  <c r="Q631" i="9" s="1"/>
  <c r="Q632" i="9" s="1"/>
  <c r="Q633" i="9" s="1"/>
  <c r="Q634" i="9" s="1"/>
  <c r="Q635" i="9" s="1"/>
  <c r="Q636" i="9" s="1"/>
  <c r="Q637" i="9" s="1"/>
  <c r="Q638" i="9" s="1"/>
  <c r="Q639" i="9" s="1"/>
  <c r="Q640" i="9" s="1"/>
  <c r="Q641" i="9" s="1"/>
  <c r="Q642" i="9" s="1"/>
  <c r="Q643" i="9" s="1"/>
  <c r="Q644" i="9" s="1"/>
  <c r="Q645" i="9" s="1"/>
  <c r="Q646" i="9" s="1"/>
  <c r="Q647" i="9" s="1"/>
  <c r="Q648" i="9" s="1"/>
  <c r="Q649" i="9" s="1"/>
  <c r="Q650" i="9" s="1"/>
  <c r="Q651" i="9" s="1"/>
  <c r="Q652" i="9" s="1"/>
  <c r="Q653" i="9" s="1"/>
  <c r="Q654" i="9" s="1"/>
  <c r="Q655" i="9" s="1"/>
  <c r="Q656" i="9" s="1"/>
  <c r="Q657" i="9" s="1"/>
  <c r="Q658" i="9" s="1"/>
  <c r="Q659" i="9" s="1"/>
  <c r="Q660" i="9" s="1"/>
  <c r="Q661" i="9" s="1"/>
  <c r="Q662" i="9" s="1"/>
  <c r="Q663" i="9" s="1"/>
  <c r="Q664" i="9" s="1"/>
  <c r="Q665" i="9" s="1"/>
  <c r="Q666" i="9" s="1"/>
  <c r="Q667" i="9" s="1"/>
  <c r="Q668" i="9" s="1"/>
  <c r="Q669" i="9" s="1"/>
  <c r="Q670" i="9" s="1"/>
  <c r="Q671" i="9" s="1"/>
  <c r="Q672" i="9" s="1"/>
  <c r="Q673" i="9" s="1"/>
  <c r="Q674" i="9" s="1"/>
  <c r="Q675" i="9" s="1"/>
  <c r="Q676" i="9" s="1"/>
  <c r="Q677" i="9" s="1"/>
  <c r="Q678" i="9" s="1"/>
  <c r="Q679" i="9" s="1"/>
  <c r="Q680" i="9" s="1"/>
  <c r="Q681" i="9" s="1"/>
  <c r="Q682" i="9" s="1"/>
  <c r="Q683" i="9" s="1"/>
  <c r="Q684" i="9" s="1"/>
  <c r="Q685" i="9" s="1"/>
  <c r="Q686" i="9" s="1"/>
  <c r="Q687" i="9" s="1"/>
  <c r="Q688" i="9" s="1"/>
  <c r="Q689" i="9" s="1"/>
  <c r="Q690" i="9" s="1"/>
  <c r="Q691" i="9" s="1"/>
  <c r="Q692" i="9" s="1"/>
  <c r="Q693" i="9" s="1"/>
  <c r="Q694" i="9" s="1"/>
  <c r="Q695" i="9" s="1"/>
  <c r="Q696" i="9" s="1"/>
  <c r="Q697" i="9" s="1"/>
  <c r="Q698" i="9" s="1"/>
  <c r="Q699" i="9" s="1"/>
  <c r="Q700" i="9" s="1"/>
  <c r="Q701" i="9" s="1"/>
  <c r="Q702" i="9" s="1"/>
  <c r="Q703" i="9" s="1"/>
  <c r="Q704" i="9" s="1"/>
  <c r="Q705" i="9" s="1"/>
  <c r="Q706" i="9" s="1"/>
  <c r="Q707" i="9" s="1"/>
  <c r="Q708" i="9" s="1"/>
  <c r="Q709" i="9" s="1"/>
  <c r="Q710" i="9" s="1"/>
  <c r="Q711" i="9" s="1"/>
  <c r="Q712" i="9" s="1"/>
  <c r="Q713" i="9" s="1"/>
  <c r="Q714" i="9" s="1"/>
  <c r="Q715" i="9" s="1"/>
  <c r="Q716" i="9" s="1"/>
  <c r="Q717" i="9" s="1"/>
  <c r="Q718" i="9" s="1"/>
  <c r="Q719" i="9" s="1"/>
  <c r="Q720" i="9" s="1"/>
  <c r="Q721" i="9" s="1"/>
  <c r="Q722" i="9" s="1"/>
  <c r="Q723" i="9" s="1"/>
  <c r="Q724" i="9" s="1"/>
  <c r="Q725" i="9" s="1"/>
  <c r="Q726" i="9" s="1"/>
  <c r="Q727" i="9" s="1"/>
  <c r="Q728" i="9" s="1"/>
  <c r="Q729" i="9" s="1"/>
  <c r="Q730" i="9" s="1"/>
  <c r="Q731" i="9" s="1"/>
  <c r="Q732" i="9" s="1"/>
  <c r="Q733" i="9" s="1"/>
  <c r="Q734" i="9" s="1"/>
  <c r="Q735" i="9" s="1"/>
  <c r="Q736" i="9" s="1"/>
  <c r="Q737" i="9" s="1"/>
  <c r="Q738" i="9" s="1"/>
  <c r="Q739" i="9" s="1"/>
  <c r="Q740" i="9" s="1"/>
  <c r="Q741" i="9" s="1"/>
  <c r="Q742" i="9" s="1"/>
  <c r="Q743" i="9" s="1"/>
  <c r="Q744" i="9" s="1"/>
  <c r="Q745" i="9" s="1"/>
  <c r="Q746" i="9" s="1"/>
  <c r="Q747" i="9" s="1"/>
  <c r="Q748" i="9" s="1"/>
  <c r="Q749" i="9" s="1"/>
  <c r="Q750" i="9" s="1"/>
  <c r="Q751" i="9" s="1"/>
  <c r="Q752" i="9" s="1"/>
  <c r="Q753" i="9" s="1"/>
  <c r="Q754" i="9" s="1"/>
  <c r="Q755" i="9" s="1"/>
  <c r="Q756" i="9" s="1"/>
  <c r="Q757" i="9" s="1"/>
  <c r="Q758" i="9" s="1"/>
  <c r="Q759" i="9" s="1"/>
  <c r="Q760" i="9" s="1"/>
  <c r="Q761" i="9" s="1"/>
  <c r="Q762" i="9" s="1"/>
  <c r="Q763" i="9" s="1"/>
  <c r="Q764" i="9" s="1"/>
  <c r="Q765" i="9" s="1"/>
  <c r="Q766" i="9" s="1"/>
  <c r="Q767" i="9" s="1"/>
  <c r="Q768" i="9" s="1"/>
  <c r="Q769" i="9" s="1"/>
  <c r="Q770" i="9" s="1"/>
  <c r="Q771" i="9" s="1"/>
  <c r="Q772" i="9" s="1"/>
  <c r="Q773" i="9" s="1"/>
  <c r="Q774" i="9" s="1"/>
  <c r="Q775" i="9" s="1"/>
  <c r="Q776" i="9" s="1"/>
  <c r="Q777" i="9" s="1"/>
  <c r="Q778" i="9" s="1"/>
  <c r="Q779" i="9" s="1"/>
  <c r="Q780" i="9" s="1"/>
  <c r="Q781" i="9" s="1"/>
  <c r="Q782" i="9" s="1"/>
  <c r="Q783" i="9" s="1"/>
  <c r="Q784" i="9" s="1"/>
  <c r="Q785" i="9" s="1"/>
  <c r="Q786" i="9" s="1"/>
  <c r="Q787" i="9" s="1"/>
  <c r="Q788" i="9" s="1"/>
  <c r="Q789" i="9" s="1"/>
  <c r="Q790" i="9" s="1"/>
  <c r="Q791" i="9" s="1"/>
  <c r="Q792" i="9" s="1"/>
  <c r="Q793" i="9" s="1"/>
  <c r="Q794" i="9" s="1"/>
  <c r="Q795" i="9" s="1"/>
  <c r="Q796" i="9" s="1"/>
  <c r="Q797" i="9" s="1"/>
  <c r="Q798" i="9" s="1"/>
  <c r="Q799" i="9" s="1"/>
  <c r="Q800" i="9" s="1"/>
  <c r="Q801" i="9" s="1"/>
  <c r="Q802" i="9" s="1"/>
  <c r="Q803" i="9" s="1"/>
  <c r="Q804" i="9" s="1"/>
  <c r="Q805" i="9" s="1"/>
  <c r="Q806" i="9" s="1"/>
  <c r="Q807" i="9" s="1"/>
  <c r="Q808" i="9" s="1"/>
  <c r="Q809" i="9" s="1"/>
  <c r="Q810" i="9" s="1"/>
  <c r="Q811" i="9" s="1"/>
  <c r="Q812" i="9" s="1"/>
  <c r="Q813" i="9" s="1"/>
  <c r="Q814" i="9" s="1"/>
  <c r="Q815" i="9" s="1"/>
  <c r="Q816" i="9" s="1"/>
  <c r="Q817" i="9" s="1"/>
  <c r="Q818" i="9" s="1"/>
  <c r="Q819" i="9" s="1"/>
  <c r="Q820" i="9" s="1"/>
  <c r="Q821" i="9" s="1"/>
  <c r="Q822" i="9" s="1"/>
  <c r="Q823" i="9" s="1"/>
  <c r="Q824" i="9" s="1"/>
  <c r="Q825" i="9" s="1"/>
  <c r="Q826" i="9" s="1"/>
  <c r="Q827" i="9" s="1"/>
  <c r="Q828" i="9" s="1"/>
  <c r="Q829" i="9" s="1"/>
  <c r="Q830" i="9" s="1"/>
  <c r="Q831" i="9" s="1"/>
  <c r="Q832" i="9" s="1"/>
  <c r="Q833" i="9" s="1"/>
  <c r="Q834" i="9" s="1"/>
  <c r="Q835" i="9" s="1"/>
  <c r="Q836" i="9" s="1"/>
  <c r="Q837" i="9" s="1"/>
  <c r="Q838" i="9" s="1"/>
  <c r="Q839" i="9" s="1"/>
  <c r="Q840" i="9" s="1"/>
  <c r="Q841" i="9" s="1"/>
  <c r="Q842" i="9" s="1"/>
  <c r="Q843" i="9" s="1"/>
  <c r="Q844" i="9" s="1"/>
  <c r="Q845" i="9" s="1"/>
  <c r="Q846" i="9" s="1"/>
  <c r="Q847" i="9" s="1"/>
  <c r="Q848" i="9" s="1"/>
  <c r="Q849" i="9" s="1"/>
  <c r="Q850" i="9" s="1"/>
  <c r="Q851" i="9" s="1"/>
  <c r="Q852" i="9" s="1"/>
  <c r="Q853" i="9" s="1"/>
  <c r="Q854" i="9" s="1"/>
  <c r="Q855" i="9" s="1"/>
  <c r="Q856" i="9" s="1"/>
  <c r="Q857" i="9" s="1"/>
  <c r="Q858" i="9" s="1"/>
  <c r="Q859" i="9" s="1"/>
  <c r="Q860" i="9" s="1"/>
  <c r="Q861" i="9" s="1"/>
  <c r="Q862" i="9" s="1"/>
  <c r="Q863" i="9" s="1"/>
  <c r="Q864" i="9" s="1"/>
  <c r="Q865" i="9" s="1"/>
  <c r="Q866" i="9" s="1"/>
  <c r="Q867" i="9" s="1"/>
  <c r="Q868" i="9" s="1"/>
  <c r="Q869" i="9" s="1"/>
  <c r="Q870" i="9" s="1"/>
  <c r="Q871" i="9" s="1"/>
  <c r="Q872" i="9" s="1"/>
  <c r="Q873" i="9" s="1"/>
  <c r="Q874" i="9" s="1"/>
  <c r="Q875" i="9" s="1"/>
  <c r="Q876" i="9" s="1"/>
  <c r="Q877" i="9" s="1"/>
  <c r="Q878" i="9" s="1"/>
  <c r="Q879" i="9" s="1"/>
  <c r="Q880" i="9" s="1"/>
  <c r="Q881" i="9" s="1"/>
  <c r="Q882" i="9" s="1"/>
  <c r="Q883" i="9" s="1"/>
  <c r="Q884" i="9" s="1"/>
  <c r="Q885" i="9" s="1"/>
  <c r="Q886" i="9" s="1"/>
  <c r="Q887" i="9" s="1"/>
  <c r="Q888" i="9" s="1"/>
  <c r="Q889" i="9" s="1"/>
  <c r="Q890" i="9" s="1"/>
  <c r="Q891" i="9" s="1"/>
  <c r="Q892" i="9" s="1"/>
  <c r="Q893" i="9" s="1"/>
  <c r="Q894" i="9" s="1"/>
  <c r="Q895" i="9" s="1"/>
  <c r="Q896" i="9" s="1"/>
  <c r="Q897" i="9" s="1"/>
  <c r="Q898" i="9" s="1"/>
  <c r="Q899" i="9" s="1"/>
  <c r="Q900" i="9" s="1"/>
  <c r="Q901" i="9" s="1"/>
  <c r="Q902" i="9" s="1"/>
  <c r="Q903" i="9" s="1"/>
  <c r="Q904" i="9" s="1"/>
  <c r="Q905" i="9" s="1"/>
  <c r="Q906" i="9" s="1"/>
  <c r="Q907" i="9" s="1"/>
  <c r="Q908" i="9" s="1"/>
  <c r="Q909" i="9" s="1"/>
  <c r="Q910" i="9" s="1"/>
  <c r="Q911" i="9" s="1"/>
  <c r="Q912" i="9" s="1"/>
  <c r="Q913" i="9" s="1"/>
  <c r="Q914" i="9" s="1"/>
  <c r="Q915" i="9" s="1"/>
  <c r="Q916" i="9" s="1"/>
  <c r="Q917" i="9" s="1"/>
  <c r="Q918" i="9" s="1"/>
  <c r="Q919" i="9" s="1"/>
  <c r="Q920" i="9" s="1"/>
  <c r="Q921" i="9" s="1"/>
  <c r="Q922" i="9" s="1"/>
  <c r="Q923" i="9" s="1"/>
  <c r="Q924" i="9" s="1"/>
  <c r="Q925" i="9" s="1"/>
  <c r="Q926" i="9" s="1"/>
  <c r="Q927" i="9" s="1"/>
  <c r="Q928" i="9" s="1"/>
  <c r="Q929" i="9" s="1"/>
  <c r="Q930" i="9" s="1"/>
  <c r="Q931" i="9" s="1"/>
  <c r="Q932" i="9" s="1"/>
  <c r="Q933" i="9" s="1"/>
  <c r="Q934" i="9" s="1"/>
  <c r="Q935" i="9" s="1"/>
  <c r="Q936" i="9" s="1"/>
  <c r="Q937" i="9" s="1"/>
  <c r="Q938" i="9" s="1"/>
  <c r="Q939" i="9" s="1"/>
  <c r="Q940" i="9" s="1"/>
  <c r="Q941" i="9" s="1"/>
  <c r="Q942" i="9" s="1"/>
  <c r="Q943" i="9" s="1"/>
  <c r="Q944" i="9" s="1"/>
  <c r="Q945" i="9" s="1"/>
  <c r="Q946" i="9" s="1"/>
  <c r="Q947" i="9" s="1"/>
  <c r="Q948" i="9" s="1"/>
  <c r="Q949" i="9" s="1"/>
  <c r="Q950" i="9" s="1"/>
  <c r="Q951" i="9" s="1"/>
  <c r="Q952" i="9" s="1"/>
  <c r="Q953" i="9" s="1"/>
  <c r="Q954" i="9" s="1"/>
  <c r="Q955" i="9" s="1"/>
  <c r="Q956" i="9" s="1"/>
  <c r="Q957" i="9" s="1"/>
  <c r="Q958" i="9" s="1"/>
  <c r="Q959" i="9" s="1"/>
  <c r="Q960" i="9" s="1"/>
  <c r="Q961" i="9" s="1"/>
  <c r="Q962" i="9" s="1"/>
  <c r="Q963" i="9" s="1"/>
  <c r="Q964" i="9" s="1"/>
  <c r="Q965" i="9" s="1"/>
  <c r="Q966" i="9" s="1"/>
  <c r="Q967" i="9" s="1"/>
  <c r="Q968" i="9" s="1"/>
  <c r="Q969" i="9" s="1"/>
  <c r="Q970" i="9" s="1"/>
  <c r="Q971" i="9" s="1"/>
  <c r="Q972" i="9" s="1"/>
  <c r="Q973" i="9" s="1"/>
  <c r="Q974" i="9" s="1"/>
  <c r="Q975" i="9" s="1"/>
  <c r="Q976" i="9" s="1"/>
  <c r="Q977" i="9" s="1"/>
  <c r="Q978" i="9" s="1"/>
  <c r="Q979" i="9" s="1"/>
  <c r="Q980" i="9" s="1"/>
  <c r="Q981" i="9" s="1"/>
  <c r="Q982" i="9" s="1"/>
  <c r="Q983" i="9" s="1"/>
  <c r="Q984" i="9" s="1"/>
  <c r="Q985" i="9" s="1"/>
  <c r="Q986" i="9" s="1"/>
  <c r="Q987" i="9" s="1"/>
  <c r="Q988" i="9" s="1"/>
  <c r="Q989" i="9" s="1"/>
  <c r="Q990" i="9" s="1"/>
  <c r="Q991" i="9" s="1"/>
  <c r="Q992" i="9" s="1"/>
  <c r="Q993" i="9" s="1"/>
  <c r="Q994" i="9" s="1"/>
  <c r="Q995" i="9" s="1"/>
  <c r="Q996" i="9" s="1"/>
  <c r="Q997" i="9" s="1"/>
  <c r="Q998" i="9" s="1"/>
  <c r="Q999" i="9" s="1"/>
  <c r="Q1000" i="9" s="1"/>
  <c r="Q1001" i="9" s="1"/>
  <c r="Q1002" i="9" s="1"/>
  <c r="Q1003" i="9" s="1"/>
  <c r="Q1004" i="9" s="1"/>
  <c r="Q1005" i="9" s="1"/>
  <c r="Q1006" i="9" s="1"/>
  <c r="Q1007" i="9" s="1"/>
  <c r="Q1008" i="9" s="1"/>
  <c r="Q1009" i="9" s="1"/>
  <c r="Q1010" i="9" s="1"/>
  <c r="Q1011" i="9" s="1"/>
  <c r="Q1012" i="9" s="1"/>
  <c r="Q1013" i="9" s="1"/>
  <c r="Q1014" i="9" s="1"/>
  <c r="Q1015" i="9" s="1"/>
  <c r="Q1016" i="9" s="1"/>
  <c r="Q1017" i="9" s="1"/>
  <c r="Q1018" i="9" s="1"/>
  <c r="Q1019" i="9" s="1"/>
  <c r="Q1020" i="9" s="1"/>
  <c r="Q1021" i="9" s="1"/>
  <c r="Q1022" i="9" s="1"/>
  <c r="Q1023" i="9" s="1"/>
  <c r="Q1024" i="9" s="1"/>
  <c r="Q1025" i="9" s="1"/>
  <c r="Q1026" i="9" s="1"/>
  <c r="Q1027" i="9" s="1"/>
  <c r="Q1028" i="9" s="1"/>
  <c r="Q1029" i="9" s="1"/>
  <c r="Q1030" i="9" s="1"/>
  <c r="Q1031" i="9" s="1"/>
  <c r="Q1032" i="9" s="1"/>
  <c r="Q1033" i="9" s="1"/>
  <c r="Q1034" i="9" s="1"/>
  <c r="Q1035" i="9" s="1"/>
  <c r="Q1036" i="9" s="1"/>
  <c r="Q1037" i="9" s="1"/>
  <c r="Q1038" i="9" s="1"/>
  <c r="Q1039" i="9" s="1"/>
  <c r="Q1040" i="9" s="1"/>
  <c r="Q1041" i="9" s="1"/>
  <c r="Q1042" i="9" s="1"/>
  <c r="Q1043" i="9" s="1"/>
  <c r="Q1044" i="9" s="1"/>
  <c r="Q1045" i="9" s="1"/>
  <c r="Q1046" i="9" s="1"/>
  <c r="Q1047" i="9" s="1"/>
  <c r="Q1048" i="9" s="1"/>
  <c r="Q1049" i="9" s="1"/>
  <c r="Q1050" i="9" s="1"/>
  <c r="Q1051" i="9" s="1"/>
  <c r="Q1052" i="9" s="1"/>
  <c r="Q1053" i="9" s="1"/>
  <c r="Q1054" i="9" s="1"/>
  <c r="Q1055" i="9" s="1"/>
  <c r="Q1056" i="9" s="1"/>
  <c r="Q1057" i="9" s="1"/>
  <c r="Q1058" i="9" s="1"/>
  <c r="Q1059" i="9" s="1"/>
  <c r="Q1060" i="9" s="1"/>
  <c r="Q1061" i="9" s="1"/>
  <c r="Q1062" i="9" s="1"/>
  <c r="Q1063" i="9" s="1"/>
  <c r="Q1064" i="9" s="1"/>
  <c r="Q1065" i="9" s="1"/>
  <c r="Q1066" i="9" s="1"/>
  <c r="Q1067" i="9" s="1"/>
  <c r="Q1068" i="9" s="1"/>
  <c r="Q1069" i="9" s="1"/>
  <c r="Q1070" i="9" s="1"/>
  <c r="Q1071" i="9" s="1"/>
  <c r="Q1072" i="9" s="1"/>
  <c r="Q1073" i="9" s="1"/>
  <c r="Q1074" i="9" s="1"/>
  <c r="Q1075" i="9" s="1"/>
  <c r="Q1076" i="9" s="1"/>
  <c r="Q1077" i="9" s="1"/>
  <c r="Q1078" i="9" s="1"/>
  <c r="Q1079" i="9" s="1"/>
  <c r="Q1080" i="9" s="1"/>
  <c r="Q1081" i="9" s="1"/>
  <c r="Q1082" i="9" s="1"/>
  <c r="Q1083" i="9" s="1"/>
  <c r="Q1084" i="9" s="1"/>
  <c r="Q1085" i="9" s="1"/>
  <c r="Q1086" i="9" s="1"/>
  <c r="Q1087" i="9" s="1"/>
  <c r="Q1088" i="9" s="1"/>
  <c r="Q1089" i="9" s="1"/>
  <c r="Q1090" i="9" s="1"/>
  <c r="Q1091" i="9" s="1"/>
  <c r="Q1092" i="9" s="1"/>
  <c r="Q1093" i="9" s="1"/>
  <c r="Q1094" i="9" s="1"/>
  <c r="Q1095" i="9" s="1"/>
  <c r="Q1096" i="9" s="1"/>
  <c r="Q1097" i="9" s="1"/>
  <c r="Q1098" i="9" s="1"/>
  <c r="Q1099" i="9" s="1"/>
  <c r="Q1100" i="9" s="1"/>
  <c r="Q1101" i="9" s="1"/>
  <c r="Q1102" i="9" s="1"/>
  <c r="Q1103" i="9" s="1"/>
  <c r="Q1104" i="9" s="1"/>
  <c r="Q1105" i="9" s="1"/>
  <c r="Q1106" i="9" s="1"/>
  <c r="Q1107" i="9" s="1"/>
  <c r="Q1108" i="9" s="1"/>
  <c r="Q1109" i="9" s="1"/>
  <c r="Q1110" i="9" s="1"/>
  <c r="Q1111" i="9" s="1"/>
  <c r="Q1112" i="9" s="1"/>
  <c r="Q1113" i="9" s="1"/>
  <c r="Q1114" i="9" s="1"/>
  <c r="Q1115" i="9" s="1"/>
  <c r="Q1116" i="9" s="1"/>
  <c r="Q1117" i="9" s="1"/>
  <c r="Q1118" i="9" s="1"/>
  <c r="Q1119" i="9" s="1"/>
  <c r="Q1120" i="9" s="1"/>
  <c r="Q1121" i="9" s="1"/>
  <c r="Q1122" i="9" s="1"/>
  <c r="Q1123" i="9" s="1"/>
  <c r="Q1124" i="9" s="1"/>
  <c r="Q1125" i="9" s="1"/>
  <c r="Q1126" i="9" s="1"/>
  <c r="Q1127" i="9" s="1"/>
  <c r="Q1128" i="9" s="1"/>
  <c r="Q1129" i="9" s="1"/>
  <c r="Q1130" i="9" s="1"/>
  <c r="Q1131" i="9" s="1"/>
  <c r="Q1132" i="9" s="1"/>
  <c r="Q1133" i="9" s="1"/>
  <c r="Q1134" i="9" s="1"/>
  <c r="Q1135" i="9" s="1"/>
  <c r="Q1136" i="9" s="1"/>
  <c r="Q1137" i="9" s="1"/>
  <c r="Q1138" i="9" s="1"/>
  <c r="Q1139" i="9" s="1"/>
  <c r="Q1140" i="9" s="1"/>
  <c r="Q1141" i="9" s="1"/>
  <c r="Q1142" i="9" s="1"/>
  <c r="Q1143" i="9" s="1"/>
  <c r="Q1144" i="9" s="1"/>
  <c r="Q1145" i="9" s="1"/>
  <c r="Q1146" i="9" s="1"/>
  <c r="Q1147" i="9" s="1"/>
  <c r="Q1148" i="9" s="1"/>
  <c r="Q1149" i="9" s="1"/>
  <c r="Q1150" i="9" s="1"/>
  <c r="Q1151" i="9" s="1"/>
  <c r="Q1152" i="9" s="1"/>
  <c r="Q1153" i="9" s="1"/>
  <c r="Q1154" i="9" s="1"/>
  <c r="Q1155" i="9" s="1"/>
  <c r="Q1156" i="9" s="1"/>
  <c r="Q1157" i="9" s="1"/>
  <c r="Q1158" i="9" s="1"/>
  <c r="Q1159" i="9" s="1"/>
  <c r="Q1160" i="9" s="1"/>
  <c r="Q1161" i="9" s="1"/>
  <c r="Q1162" i="9" s="1"/>
  <c r="Q1163" i="9" s="1"/>
  <c r="Q1164" i="9" s="1"/>
  <c r="Q1165" i="9" s="1"/>
  <c r="Q1166" i="9" s="1"/>
  <c r="Q1167" i="9" s="1"/>
  <c r="Q1168" i="9" s="1"/>
  <c r="Q1169" i="9" s="1"/>
  <c r="Q1170" i="9" s="1"/>
  <c r="Q1171" i="9" s="1"/>
  <c r="Q1172" i="9" s="1"/>
  <c r="Q1173" i="9" s="1"/>
  <c r="Q1174" i="9" s="1"/>
  <c r="Q1175" i="9" s="1"/>
  <c r="Q1176" i="9" s="1"/>
  <c r="Q1177" i="9" s="1"/>
  <c r="Q1178" i="9" s="1"/>
  <c r="Q1179" i="9" s="1"/>
  <c r="Q1180" i="9" s="1"/>
  <c r="Q1181" i="9" s="1"/>
  <c r="Q1182" i="9" s="1"/>
  <c r="Q1183" i="9" s="1"/>
  <c r="Q1184" i="9" s="1"/>
  <c r="Q1185" i="9" s="1"/>
  <c r="Q1186" i="9" s="1"/>
  <c r="Q1187" i="9" s="1"/>
  <c r="Q1188" i="9" s="1"/>
  <c r="Q1189" i="9" s="1"/>
  <c r="Q1190" i="9" s="1"/>
  <c r="Q1191" i="9" s="1"/>
  <c r="Q1192" i="9" s="1"/>
  <c r="Q1193" i="9" s="1"/>
  <c r="Q1194" i="9" s="1"/>
  <c r="Q1195" i="9" s="1"/>
  <c r="Q1196" i="9" s="1"/>
  <c r="Q1197" i="9" s="1"/>
  <c r="Q1198" i="9" s="1"/>
  <c r="Q1199" i="9" s="1"/>
  <c r="Q1200" i="9" s="1"/>
  <c r="Q1201" i="9" s="1"/>
  <c r="Q1202" i="9" s="1"/>
  <c r="Q1203" i="9" s="1"/>
  <c r="Q1204" i="9" s="1"/>
  <c r="Q1205" i="9" s="1"/>
  <c r="Q1206" i="9" s="1"/>
  <c r="Q1207" i="9" s="1"/>
  <c r="Q1208" i="9" s="1"/>
  <c r="Q1209" i="9" s="1"/>
  <c r="Q1210" i="9" s="1"/>
  <c r="Q1211" i="9" s="1"/>
  <c r="Q1212" i="9" s="1"/>
  <c r="Q1213" i="9" s="1"/>
  <c r="Q1214" i="9" s="1"/>
  <c r="Q1215" i="9" s="1"/>
  <c r="Q1216" i="9" s="1"/>
  <c r="Q1217" i="9" s="1"/>
  <c r="Q1218" i="9" s="1"/>
  <c r="Q1219" i="9" s="1"/>
  <c r="Q1220" i="9" s="1"/>
  <c r="Q1221" i="9" s="1"/>
  <c r="Q1222" i="9" s="1"/>
  <c r="Q1223" i="9" s="1"/>
  <c r="Q1224" i="9" s="1"/>
  <c r="Q1225" i="9" s="1"/>
  <c r="Q1226" i="9" s="1"/>
  <c r="Q1227" i="9" s="1"/>
  <c r="Q1228" i="9" s="1"/>
  <c r="Q1229" i="9" s="1"/>
  <c r="Q1230" i="9" s="1"/>
  <c r="Q1231" i="9" s="1"/>
  <c r="Q1232" i="9" s="1"/>
  <c r="Q1233" i="9" s="1"/>
  <c r="Q1234" i="9" s="1"/>
  <c r="Q1235" i="9" s="1"/>
  <c r="Q1236" i="9" s="1"/>
  <c r="Q1237" i="9" s="1"/>
  <c r="Q1238" i="9" s="1"/>
  <c r="Q1239" i="9" s="1"/>
  <c r="Q1240" i="9" s="1"/>
  <c r="Q1241" i="9" s="1"/>
  <c r="Q1242" i="9" s="1"/>
  <c r="Q1243" i="9" s="1"/>
  <c r="Q1244" i="9" s="1"/>
  <c r="Q1245" i="9" s="1"/>
  <c r="Q1246" i="9" s="1"/>
  <c r="Q1247" i="9" s="1"/>
  <c r="Q1248" i="9" s="1"/>
  <c r="Q1249" i="9" s="1"/>
  <c r="Q1250" i="9" s="1"/>
  <c r="Q1251" i="9" s="1"/>
  <c r="Q1252" i="9" s="1"/>
  <c r="Q1253" i="9" s="1"/>
  <c r="Q1254" i="9" s="1"/>
  <c r="Q1255" i="9" s="1"/>
  <c r="Q1256" i="9" s="1"/>
  <c r="Q1257" i="9" s="1"/>
  <c r="Q1258" i="9" s="1"/>
  <c r="Q1259" i="9" s="1"/>
  <c r="Q1260" i="9" s="1"/>
  <c r="Q1261" i="9" s="1"/>
  <c r="Q1262" i="9" s="1"/>
  <c r="Q1263" i="9" s="1"/>
  <c r="Q1264" i="9" s="1"/>
  <c r="Q1265" i="9" s="1"/>
  <c r="Q1266" i="9" s="1"/>
  <c r="Q1267" i="9" s="1"/>
  <c r="Q1268" i="9" s="1"/>
  <c r="Q1269" i="9" s="1"/>
  <c r="Q1270" i="9" s="1"/>
  <c r="Q1271" i="9" s="1"/>
  <c r="Q1272" i="9" s="1"/>
  <c r="Q1273" i="9" s="1"/>
  <c r="Q1274" i="9" s="1"/>
  <c r="Q1275" i="9" s="1"/>
  <c r="Q1276" i="9" s="1"/>
  <c r="Q1277" i="9" s="1"/>
  <c r="Q1278" i="9" s="1"/>
  <c r="Q1279" i="9" s="1"/>
  <c r="Q1280" i="9" s="1"/>
  <c r="Q1281" i="9" s="1"/>
  <c r="Q1282" i="9" s="1"/>
  <c r="Q1283" i="9" s="1"/>
  <c r="Q1284" i="9" s="1"/>
  <c r="Q1285" i="9" s="1"/>
  <c r="Q1286" i="9" s="1"/>
  <c r="Q1287" i="9" s="1"/>
  <c r="Q1288" i="9" s="1"/>
  <c r="Q1289" i="9" s="1"/>
  <c r="Q1290" i="9" s="1"/>
  <c r="Q1291" i="9" s="1"/>
  <c r="Q1292" i="9" s="1"/>
  <c r="Q1293" i="9" s="1"/>
  <c r="Q1294" i="9" s="1"/>
  <c r="Q1295" i="9" s="1"/>
  <c r="Q1296" i="9" s="1"/>
  <c r="Q1297" i="9" s="1"/>
  <c r="Q1298" i="9" s="1"/>
  <c r="Q1299" i="9" s="1"/>
  <c r="Q1300" i="9" s="1"/>
  <c r="Q1301" i="9" s="1"/>
  <c r="Q1302" i="9" s="1"/>
  <c r="Q1303" i="9" s="1"/>
  <c r="Q1304" i="9" s="1"/>
  <c r="Q1305" i="9" s="1"/>
  <c r="Q1306" i="9" s="1"/>
  <c r="Q1307" i="9" s="1"/>
  <c r="Q1308" i="9" s="1"/>
  <c r="Q1309" i="9" s="1"/>
  <c r="Q1310" i="9" s="1"/>
  <c r="Q1311" i="9" s="1"/>
  <c r="Q1312" i="9" s="1"/>
  <c r="Q1313" i="9" s="1"/>
  <c r="Q1314" i="9" s="1"/>
  <c r="Q1315" i="9" s="1"/>
  <c r="Q1316" i="9" s="1"/>
  <c r="Q1317" i="9" s="1"/>
  <c r="Q1318" i="9" s="1"/>
  <c r="Q1319" i="9" s="1"/>
  <c r="Q1320" i="9" s="1"/>
  <c r="Q1321" i="9" s="1"/>
  <c r="Q1322" i="9" s="1"/>
  <c r="Q1323" i="9" s="1"/>
  <c r="Q1324" i="9" s="1"/>
  <c r="Q1325" i="9" s="1"/>
  <c r="Q1326" i="9" s="1"/>
  <c r="Q1327" i="9" s="1"/>
  <c r="Q1328" i="9" s="1"/>
  <c r="Q1329" i="9" s="1"/>
  <c r="Q1330" i="9" s="1"/>
  <c r="Q1331" i="9" s="1"/>
  <c r="Q1332" i="9" s="1"/>
  <c r="Q1333" i="9" s="1"/>
  <c r="Q1334" i="9" s="1"/>
  <c r="Q1335" i="9" s="1"/>
  <c r="Q1336" i="9" s="1"/>
  <c r="Q1337" i="9" s="1"/>
  <c r="Q1338" i="9" s="1"/>
  <c r="Q1339" i="9" s="1"/>
  <c r="Q1340" i="9" s="1"/>
  <c r="Q1341" i="9" s="1"/>
  <c r="Q1342" i="9" s="1"/>
  <c r="Q1343" i="9" s="1"/>
  <c r="Q1344" i="9" s="1"/>
  <c r="Q1345" i="9" s="1"/>
  <c r="Q1346" i="9" s="1"/>
  <c r="Q1347" i="9" s="1"/>
  <c r="Q1348" i="9" s="1"/>
  <c r="Q1349" i="9" s="1"/>
  <c r="Q1350" i="9" s="1"/>
  <c r="Q1351" i="9" s="1"/>
  <c r="Q1352" i="9" s="1"/>
  <c r="Q1353" i="9" s="1"/>
  <c r="Q1354" i="9" s="1"/>
  <c r="Q1355" i="9" s="1"/>
  <c r="Q1356" i="9" s="1"/>
  <c r="Q1357" i="9" s="1"/>
  <c r="Q1358" i="9" s="1"/>
  <c r="Q1359" i="9" s="1"/>
  <c r="Q1360" i="9" s="1"/>
  <c r="Q1361" i="9" s="1"/>
  <c r="Q1362" i="9" s="1"/>
  <c r="Q1363" i="9" s="1"/>
  <c r="Q1364" i="9" s="1"/>
  <c r="Q1365" i="9" s="1"/>
  <c r="Q1366" i="9" s="1"/>
  <c r="Q1367" i="9" s="1"/>
  <c r="Q1368" i="9" s="1"/>
  <c r="Q1369" i="9" s="1"/>
  <c r="Q1370" i="9" s="1"/>
  <c r="Q1371" i="9" s="1"/>
  <c r="Q1372" i="9" s="1"/>
  <c r="Q1373" i="9" s="1"/>
  <c r="Q1374" i="9" s="1"/>
  <c r="Q1375" i="9" s="1"/>
  <c r="Q1376" i="9" s="1"/>
  <c r="Q1377" i="9" s="1"/>
  <c r="Q1378" i="9" s="1"/>
  <c r="Q1379" i="9" s="1"/>
  <c r="Q1380" i="9" s="1"/>
  <c r="Q1381" i="9" s="1"/>
  <c r="Q1382" i="9" s="1"/>
  <c r="Q1383" i="9" s="1"/>
  <c r="Q1384" i="9" s="1"/>
  <c r="Q1385" i="9" s="1"/>
  <c r="Q1386" i="9" s="1"/>
  <c r="Q1387" i="9" s="1"/>
  <c r="Q1388" i="9" s="1"/>
  <c r="Q1389" i="9" s="1"/>
  <c r="Q1390" i="9" s="1"/>
  <c r="Q1391" i="9" s="1"/>
  <c r="Q1392" i="9" s="1"/>
  <c r="Q1393" i="9" s="1"/>
  <c r="Q1394" i="9" s="1"/>
  <c r="Q1395" i="9" s="1"/>
  <c r="Q1396" i="9" s="1"/>
  <c r="Q1397" i="9" s="1"/>
  <c r="Q1398" i="9" s="1"/>
  <c r="Q1399" i="9" s="1"/>
  <c r="Q1400" i="9" s="1"/>
  <c r="Q1401" i="9" s="1"/>
  <c r="Q1402" i="9" s="1"/>
  <c r="Q1403" i="9" s="1"/>
  <c r="Q1404" i="9" s="1"/>
  <c r="Q1405" i="9" s="1"/>
  <c r="Q1406" i="9" s="1"/>
  <c r="Q1407" i="9" s="1"/>
  <c r="Q1408" i="9" s="1"/>
  <c r="Q1409" i="9" s="1"/>
  <c r="Q1410" i="9" s="1"/>
  <c r="Q1411" i="9" s="1"/>
  <c r="Q1412" i="9" s="1"/>
  <c r="Q1413" i="9" s="1"/>
  <c r="Q1414" i="9" s="1"/>
  <c r="Q1415" i="9" s="1"/>
  <c r="Q1416" i="9" s="1"/>
  <c r="Q1417" i="9" s="1"/>
  <c r="Q1418" i="9" s="1"/>
  <c r="Q1419" i="9" s="1"/>
  <c r="Q1420" i="9" s="1"/>
  <c r="Q1421" i="9" s="1"/>
  <c r="Q1422" i="9" s="1"/>
  <c r="Q1423" i="9" s="1"/>
  <c r="Q1424" i="9" s="1"/>
  <c r="Q1425" i="9" s="1"/>
  <c r="Q1426" i="9" s="1"/>
  <c r="Q1427" i="9" s="1"/>
  <c r="Q1428" i="9" s="1"/>
  <c r="Q1429" i="9" s="1"/>
  <c r="Q1430" i="9" s="1"/>
  <c r="Q1431" i="9" s="1"/>
  <c r="Q1432" i="9" s="1"/>
  <c r="Q1433" i="9" s="1"/>
  <c r="Q1434" i="9" s="1"/>
  <c r="Q1435" i="9" s="1"/>
  <c r="Q1436" i="9" s="1"/>
  <c r="Q1437" i="9" s="1"/>
  <c r="Q1438" i="9" s="1"/>
  <c r="Q1439" i="9" s="1"/>
  <c r="Q1440" i="9" s="1"/>
  <c r="Q1441" i="9" s="1"/>
  <c r="Q1442" i="9" s="1"/>
  <c r="Q1443" i="9" s="1"/>
  <c r="Q1444" i="9" s="1"/>
  <c r="Q1445" i="9" s="1"/>
  <c r="Q1446" i="9" s="1"/>
  <c r="Q1447" i="9" s="1"/>
  <c r="Q1448" i="9" s="1"/>
  <c r="Q1449" i="9" s="1"/>
  <c r="Q1450" i="9" s="1"/>
  <c r="Q1451" i="9" s="1"/>
  <c r="Q1452" i="9" s="1"/>
  <c r="Q1453" i="9" s="1"/>
  <c r="Q1454" i="9" s="1"/>
  <c r="Q1455" i="9" s="1"/>
  <c r="Q1456" i="9" s="1"/>
  <c r="Q1457" i="9" s="1"/>
  <c r="Q1458" i="9" s="1"/>
  <c r="Q1459" i="9" s="1"/>
  <c r="Q1460" i="9" s="1"/>
  <c r="Q1461" i="9" s="1"/>
  <c r="Q1462" i="9" s="1"/>
  <c r="Q1463" i="9" s="1"/>
  <c r="Q1464" i="9" s="1"/>
  <c r="Q1465" i="9" s="1"/>
  <c r="Q1466" i="9" s="1"/>
  <c r="Q1467" i="9" s="1"/>
  <c r="Q1468" i="9" s="1"/>
  <c r="Q1469" i="9" s="1"/>
  <c r="Q1470" i="9" s="1"/>
  <c r="Q1471" i="9" s="1"/>
  <c r="Q1472" i="9" s="1"/>
  <c r="Q1473" i="9" s="1"/>
  <c r="Q1474" i="9" s="1"/>
  <c r="Q1475" i="9" s="1"/>
  <c r="Q1476" i="9" s="1"/>
  <c r="Q1477" i="9" s="1"/>
  <c r="Q1478" i="9" s="1"/>
  <c r="Q1479" i="9" s="1"/>
  <c r="Q1480" i="9" s="1"/>
  <c r="Q1481" i="9" s="1"/>
  <c r="Q1482" i="9" s="1"/>
  <c r="Q1483" i="9" s="1"/>
  <c r="Q1484" i="9" s="1"/>
  <c r="Q1485" i="9" s="1"/>
  <c r="Q1486" i="9" s="1"/>
  <c r="Q1487" i="9" s="1"/>
  <c r="Q1488" i="9" s="1"/>
  <c r="Q1489" i="9" s="1"/>
  <c r="Q1490" i="9" s="1"/>
  <c r="Q1491" i="9" s="1"/>
  <c r="Q1492" i="9" s="1"/>
  <c r="Q1493" i="9" s="1"/>
  <c r="Q1494" i="9" s="1"/>
  <c r="Q1495" i="9" s="1"/>
  <c r="Q1496" i="9" s="1"/>
  <c r="Q1497" i="9" s="1"/>
  <c r="Q1498" i="9" s="1"/>
  <c r="Q1499" i="9" s="1"/>
  <c r="Q1500" i="9" s="1"/>
  <c r="Q1501" i="9" s="1"/>
  <c r="Q1502" i="9" s="1"/>
  <c r="Q1503" i="9" s="1"/>
  <c r="Q1504" i="9" s="1"/>
  <c r="Q1505" i="9" s="1"/>
  <c r="Q1506" i="9" s="1"/>
  <c r="Q1507" i="9" s="1"/>
  <c r="Q1508" i="9" s="1"/>
  <c r="Q1509" i="9" s="1"/>
  <c r="Q1510" i="9" s="1"/>
  <c r="Q1511" i="9" s="1"/>
  <c r="Q1512" i="9" s="1"/>
  <c r="Q1513" i="9" s="1"/>
  <c r="Q1514" i="9" s="1"/>
  <c r="Q1515" i="9" s="1"/>
  <c r="Q1516" i="9" s="1"/>
  <c r="Q1517" i="9" s="1"/>
  <c r="Q1518" i="9" s="1"/>
  <c r="Q1519" i="9" s="1"/>
  <c r="Q1520" i="9" s="1"/>
  <c r="Q1521" i="9" s="1"/>
  <c r="Q1522" i="9" s="1"/>
  <c r="Q1523" i="9" s="1"/>
  <c r="Q1524" i="9" s="1"/>
  <c r="Q1525" i="9" s="1"/>
  <c r="Q1526" i="9" s="1"/>
  <c r="Q1527" i="9" s="1"/>
  <c r="Q1528" i="9" s="1"/>
  <c r="Q1529" i="9" s="1"/>
  <c r="Q1530" i="9" s="1"/>
  <c r="Q1531" i="9" s="1"/>
  <c r="Q1532" i="9" s="1"/>
  <c r="Q1533" i="9" s="1"/>
  <c r="Q1534" i="9" s="1"/>
  <c r="Q1535" i="9" s="1"/>
  <c r="Q1536" i="9" s="1"/>
  <c r="Q1537" i="9" s="1"/>
  <c r="Q1538" i="9" s="1"/>
  <c r="Q1539" i="9" s="1"/>
  <c r="Q1540" i="9" s="1"/>
  <c r="Q1541" i="9" s="1"/>
  <c r="Q1542" i="9" s="1"/>
  <c r="Q1543" i="9" s="1"/>
  <c r="Q1544" i="9" s="1"/>
  <c r="Q1545" i="9" s="1"/>
  <c r="Q1546" i="9" s="1"/>
  <c r="Q1547" i="9" s="1"/>
  <c r="Q1548" i="9" s="1"/>
  <c r="Q1549" i="9" s="1"/>
  <c r="Q1550" i="9" s="1"/>
  <c r="Q1551" i="9" s="1"/>
  <c r="Q1552" i="9" s="1"/>
  <c r="Q1553" i="9" s="1"/>
  <c r="Q1554" i="9" s="1"/>
  <c r="Q1555" i="9" s="1"/>
  <c r="Q1556" i="9" s="1"/>
  <c r="Q1557" i="9" s="1"/>
  <c r="Q1558" i="9" s="1"/>
  <c r="Q1559" i="9" s="1"/>
  <c r="Q1560" i="9" s="1"/>
  <c r="Q1561" i="9" s="1"/>
  <c r="Q1562" i="9" s="1"/>
  <c r="Q1563" i="9" s="1"/>
  <c r="Q1564" i="9" s="1"/>
  <c r="Q1565" i="9" s="1"/>
  <c r="Q1566" i="9" s="1"/>
  <c r="Q1567" i="9" s="1"/>
  <c r="Q1568" i="9" s="1"/>
  <c r="Q1569" i="9" s="1"/>
  <c r="Q1570" i="9" s="1"/>
  <c r="Q1571" i="9" s="1"/>
  <c r="Q1572" i="9" s="1"/>
  <c r="Q1573" i="9" s="1"/>
  <c r="Q1574" i="9" s="1"/>
  <c r="Q1575" i="9" s="1"/>
  <c r="Q1576" i="9" s="1"/>
  <c r="Q1577" i="9" s="1"/>
  <c r="Q1578" i="9" s="1"/>
  <c r="Q1579" i="9" s="1"/>
  <c r="Q1580" i="9" s="1"/>
  <c r="Q1581" i="9" s="1"/>
  <c r="Q1582" i="9" s="1"/>
  <c r="Q1583" i="9" s="1"/>
  <c r="Q1584" i="9" s="1"/>
  <c r="Q1585" i="9" s="1"/>
  <c r="Q1586" i="9" s="1"/>
  <c r="Q1587" i="9" s="1"/>
  <c r="Q1588" i="9" s="1"/>
  <c r="Q1589" i="9" s="1"/>
  <c r="Q1590" i="9" s="1"/>
  <c r="Q1591" i="9" s="1"/>
  <c r="Q1592" i="9" s="1"/>
  <c r="Q1593" i="9" s="1"/>
  <c r="Q1594" i="9" s="1"/>
  <c r="Q1595" i="9" s="1"/>
  <c r="Q1596" i="9" s="1"/>
  <c r="Q1597" i="9" s="1"/>
  <c r="Q1598" i="9" s="1"/>
  <c r="Q1599" i="9" s="1"/>
  <c r="Q1600" i="9" s="1"/>
  <c r="Q1601" i="9" s="1"/>
  <c r="Q1602" i="9" s="1"/>
  <c r="Q1603" i="9" s="1"/>
  <c r="Q1604" i="9" s="1"/>
  <c r="Q1605" i="9" s="1"/>
  <c r="Q1606" i="9" s="1"/>
  <c r="Q1607" i="9" s="1"/>
  <c r="Q1608" i="9" s="1"/>
  <c r="Q1609" i="9" s="1"/>
  <c r="Q1610" i="9" s="1"/>
  <c r="Q1611" i="9" s="1"/>
  <c r="Q1612" i="9" s="1"/>
  <c r="Q1613" i="9" s="1"/>
  <c r="Q1614" i="9" s="1"/>
  <c r="Q1615" i="9" s="1"/>
  <c r="Q1616" i="9" s="1"/>
  <c r="Q1617" i="9" s="1"/>
  <c r="Q1618" i="9" s="1"/>
  <c r="Q1619" i="9" s="1"/>
  <c r="Q1620" i="9" s="1"/>
  <c r="Q1621" i="9" s="1"/>
  <c r="Q1622" i="9" s="1"/>
  <c r="Q1623" i="9" s="1"/>
  <c r="Q1624" i="9" s="1"/>
  <c r="Q1625" i="9" s="1"/>
  <c r="Q1626" i="9" s="1"/>
  <c r="Q1627" i="9" s="1"/>
  <c r="Q1628" i="9" s="1"/>
  <c r="Q1629" i="9" s="1"/>
  <c r="Q1630" i="9" s="1"/>
  <c r="Q1631" i="9" s="1"/>
  <c r="Q1632" i="9" s="1"/>
  <c r="Q1633" i="9" s="1"/>
  <c r="Q1634" i="9" s="1"/>
  <c r="Q1635" i="9" s="1"/>
  <c r="Q1636" i="9" s="1"/>
  <c r="Q1637" i="9" s="1"/>
  <c r="Q1638" i="9" s="1"/>
  <c r="Q1639" i="9" s="1"/>
  <c r="Q1640" i="9" s="1"/>
  <c r="Q1641" i="9" s="1"/>
  <c r="Q1642" i="9" s="1"/>
  <c r="Q1643" i="9" s="1"/>
  <c r="Q1644" i="9" s="1"/>
  <c r="Q1645" i="9" s="1"/>
  <c r="Q1646" i="9" s="1"/>
  <c r="Q1647" i="9" s="1"/>
  <c r="Q1648" i="9" s="1"/>
  <c r="Q1649" i="9" s="1"/>
  <c r="Q1650" i="9" s="1"/>
  <c r="Q1651" i="9" s="1"/>
  <c r="Q1652" i="9" s="1"/>
  <c r="Q1653" i="9" s="1"/>
  <c r="Q1654" i="9" s="1"/>
  <c r="Q1655" i="9" s="1"/>
  <c r="Q1656" i="9" s="1"/>
  <c r="Q1657" i="9" s="1"/>
  <c r="Q1658" i="9" s="1"/>
  <c r="Q1659" i="9" s="1"/>
  <c r="Q1660" i="9" s="1"/>
  <c r="Q1661" i="9" s="1"/>
  <c r="Q1662" i="9" s="1"/>
  <c r="Q1663" i="9" s="1"/>
  <c r="Q1664" i="9" s="1"/>
  <c r="Q1665" i="9" s="1"/>
  <c r="Q1666" i="9" s="1"/>
  <c r="Q1667" i="9" s="1"/>
  <c r="Q1668" i="9" s="1"/>
  <c r="Q1669" i="9" s="1"/>
  <c r="Q1670" i="9" s="1"/>
  <c r="Q1671" i="9" s="1"/>
  <c r="Q1672" i="9" s="1"/>
  <c r="Q1673" i="9" s="1"/>
  <c r="Q1674" i="9" s="1"/>
  <c r="Q1675" i="9" s="1"/>
  <c r="Q1676" i="9" s="1"/>
  <c r="Q1677" i="9" s="1"/>
  <c r="Q1678" i="9" s="1"/>
  <c r="Q1679" i="9" s="1"/>
  <c r="Q1680" i="9" s="1"/>
  <c r="Q1681" i="9" s="1"/>
  <c r="Q1682" i="9" s="1"/>
  <c r="Q1683" i="9" s="1"/>
  <c r="Q1684" i="9" s="1"/>
  <c r="Q1685" i="9" s="1"/>
  <c r="Q1686" i="9" s="1"/>
  <c r="Q1687" i="9" s="1"/>
  <c r="Q1688" i="9" s="1"/>
  <c r="Q1689" i="9" s="1"/>
  <c r="Q1690" i="9" s="1"/>
  <c r="Q1691" i="9" s="1"/>
  <c r="Q1692" i="9" s="1"/>
  <c r="Q1693" i="9" s="1"/>
  <c r="Q1694" i="9" s="1"/>
  <c r="Q1695" i="9" s="1"/>
  <c r="Q1696" i="9" s="1"/>
  <c r="Q1697" i="9" s="1"/>
  <c r="Q1698" i="9" s="1"/>
  <c r="Q1699" i="9" s="1"/>
  <c r="Q1700" i="9" s="1"/>
  <c r="Q1701" i="9" s="1"/>
  <c r="Q1702" i="9" s="1"/>
  <c r="Q1703" i="9" s="1"/>
  <c r="Q1704" i="9" s="1"/>
  <c r="Q1705" i="9" s="1"/>
  <c r="Q1706" i="9" s="1"/>
  <c r="Q1707" i="9" s="1"/>
  <c r="Q1708" i="9" s="1"/>
  <c r="Q1709" i="9" s="1"/>
  <c r="Q1710" i="9" s="1"/>
  <c r="Q1711" i="9" s="1"/>
  <c r="Q1712" i="9" s="1"/>
  <c r="Q1713" i="9" s="1"/>
  <c r="Q1714" i="9" s="1"/>
  <c r="Q1715" i="9" s="1"/>
  <c r="Q1716" i="9" s="1"/>
  <c r="Q1717" i="9" s="1"/>
  <c r="Q1718" i="9" s="1"/>
  <c r="Q1719" i="9" s="1"/>
  <c r="Q1720" i="9" s="1"/>
  <c r="Q1721" i="9" s="1"/>
  <c r="Q1722" i="9" s="1"/>
  <c r="Q1723" i="9" s="1"/>
  <c r="Q1724" i="9" s="1"/>
  <c r="Q1725" i="9" s="1"/>
  <c r="Q1726" i="9" s="1"/>
  <c r="Q1727" i="9" s="1"/>
  <c r="Q1728" i="9" s="1"/>
  <c r="Q1729" i="9" s="1"/>
  <c r="Q1730" i="9" s="1"/>
  <c r="Q1731" i="9" s="1"/>
  <c r="Q1732" i="9" s="1"/>
  <c r="Q1733" i="9" s="1"/>
  <c r="Q1734" i="9" s="1"/>
  <c r="Q1735" i="9" s="1"/>
  <c r="Q1736" i="9" s="1"/>
  <c r="Q1737" i="9" s="1"/>
  <c r="Q1738" i="9" s="1"/>
  <c r="Q1739" i="9" s="1"/>
  <c r="Q1740" i="9" s="1"/>
  <c r="Q1741" i="9" s="1"/>
  <c r="Q1742" i="9" s="1"/>
  <c r="Q1743" i="9" s="1"/>
  <c r="Q1744" i="9" s="1"/>
  <c r="Q1745" i="9" s="1"/>
  <c r="Q1746" i="9" s="1"/>
  <c r="Q1747" i="9" s="1"/>
  <c r="Q1748" i="9" s="1"/>
  <c r="Q1749" i="9" s="1"/>
  <c r="Q1750" i="9" s="1"/>
  <c r="Q1751" i="9" s="1"/>
  <c r="Q1752" i="9" s="1"/>
  <c r="Q1753" i="9" s="1"/>
  <c r="Q1754" i="9" s="1"/>
  <c r="Q1755" i="9" s="1"/>
  <c r="Q1756" i="9" s="1"/>
  <c r="Q1757" i="9" s="1"/>
  <c r="Q1758" i="9" s="1"/>
  <c r="Q1759" i="9" s="1"/>
  <c r="Q1760" i="9" s="1"/>
  <c r="Q1761" i="9" s="1"/>
  <c r="Q1762" i="9" s="1"/>
  <c r="Q1763" i="9" s="1"/>
  <c r="Q1764" i="9" s="1"/>
  <c r="Q1765" i="9" s="1"/>
  <c r="Q1766" i="9" s="1"/>
  <c r="Q1767" i="9" s="1"/>
  <c r="Q1768" i="9" s="1"/>
  <c r="Q1769" i="9" s="1"/>
  <c r="Q1770" i="9" s="1"/>
  <c r="Q1771" i="9" s="1"/>
  <c r="Q1772" i="9" s="1"/>
  <c r="Q1773" i="9" s="1"/>
  <c r="Q1774" i="9" s="1"/>
  <c r="Q1775" i="9" s="1"/>
  <c r="Q1776" i="9" s="1"/>
  <c r="Q1777" i="9" s="1"/>
  <c r="Q1778" i="9" s="1"/>
  <c r="Q1779" i="9" s="1"/>
  <c r="Q1780" i="9" s="1"/>
  <c r="Q1781" i="9" s="1"/>
  <c r="Q1782" i="9" s="1"/>
  <c r="Q1783" i="9" s="1"/>
  <c r="Q1784" i="9" s="1"/>
  <c r="Q1785" i="9" s="1"/>
  <c r="Q1786" i="9" s="1"/>
  <c r="Q1787" i="9" s="1"/>
  <c r="Q1788" i="9" s="1"/>
  <c r="Q1789" i="9" s="1"/>
  <c r="Q1790" i="9" s="1"/>
  <c r="Q1791" i="9" s="1"/>
  <c r="Q1792" i="9" s="1"/>
  <c r="Q1793" i="9" s="1"/>
  <c r="Q1794" i="9" s="1"/>
  <c r="Q1795" i="9" s="1"/>
  <c r="Q1796" i="9" s="1"/>
  <c r="Q1797" i="9" s="1"/>
  <c r="Q1798" i="9" s="1"/>
  <c r="Q1799" i="9" s="1"/>
  <c r="Q1800" i="9" s="1"/>
  <c r="Q1801" i="9" s="1"/>
  <c r="Q1802" i="9" s="1"/>
  <c r="Q1803" i="9" s="1"/>
  <c r="Q1804" i="9" s="1"/>
  <c r="Q1805" i="9" s="1"/>
  <c r="Q1806" i="9" s="1"/>
  <c r="Q1807" i="9" s="1"/>
  <c r="Q1808" i="9" s="1"/>
  <c r="Q1809" i="9" s="1"/>
  <c r="Q1810" i="9" s="1"/>
  <c r="Q1811" i="9" s="1"/>
  <c r="Q1812" i="9" s="1"/>
  <c r="Q1813" i="9" s="1"/>
  <c r="Q1814" i="9" s="1"/>
  <c r="Q1815" i="9" s="1"/>
  <c r="Q1816" i="9" s="1"/>
  <c r="Q1817" i="9" s="1"/>
  <c r="Q1818" i="9" s="1"/>
  <c r="Q1819" i="9" s="1"/>
  <c r="Q1820" i="9" s="1"/>
  <c r="Q1821" i="9" s="1"/>
  <c r="Q1822" i="9" s="1"/>
  <c r="Q1823" i="9" s="1"/>
  <c r="Q1824" i="9" s="1"/>
  <c r="Q1825" i="9" s="1"/>
  <c r="Q1826" i="9" s="1"/>
  <c r="Q1827" i="9" s="1"/>
  <c r="Q1828" i="9" s="1"/>
  <c r="Q1829" i="9" s="1"/>
  <c r="Q1830" i="9" s="1"/>
  <c r="Q1831" i="9" s="1"/>
  <c r="Q1832" i="9" s="1"/>
  <c r="Q1833" i="9" s="1"/>
  <c r="Q1834" i="9" s="1"/>
  <c r="Q1835" i="9" s="1"/>
  <c r="Q1836" i="9" s="1"/>
  <c r="Q1837" i="9" s="1"/>
  <c r="Q1838" i="9" s="1"/>
  <c r="Q1839" i="9" s="1"/>
  <c r="Q1840" i="9" s="1"/>
  <c r="Q1841" i="9" s="1"/>
  <c r="Q1842" i="9" s="1"/>
  <c r="Q1843" i="9" s="1"/>
  <c r="Q1844" i="9" s="1"/>
  <c r="Q1845" i="9" s="1"/>
  <c r="Q1846" i="9" s="1"/>
  <c r="Q1847" i="9" s="1"/>
  <c r="Q1848" i="9" s="1"/>
  <c r="Q1849" i="9" s="1"/>
  <c r="Q1850" i="9" s="1"/>
  <c r="Q1851" i="9" s="1"/>
  <c r="Q1852" i="9" s="1"/>
  <c r="Q1853" i="9" s="1"/>
  <c r="Q1854" i="9" s="1"/>
  <c r="Q1855" i="9" s="1"/>
  <c r="Q1856" i="9" s="1"/>
  <c r="Q1857" i="9" s="1"/>
  <c r="Q1858" i="9" s="1"/>
  <c r="Q1859" i="9" s="1"/>
  <c r="Q1860" i="9" s="1"/>
  <c r="Q1861" i="9" s="1"/>
  <c r="Q1862" i="9" s="1"/>
  <c r="Q1863" i="9" s="1"/>
  <c r="Q1864" i="9" s="1"/>
  <c r="Q1865" i="9" s="1"/>
  <c r="Q1866" i="9" s="1"/>
  <c r="Q1867" i="9" s="1"/>
  <c r="Q1868" i="9" s="1"/>
  <c r="Q1869" i="9" s="1"/>
  <c r="Q1870" i="9" s="1"/>
  <c r="Q1871" i="9" s="1"/>
  <c r="Q1872" i="9" s="1"/>
  <c r="Q1873" i="9" s="1"/>
  <c r="Q1874" i="9" s="1"/>
  <c r="Q1875" i="9" s="1"/>
  <c r="Q1876" i="9" s="1"/>
  <c r="Q1877" i="9" s="1"/>
  <c r="Q1878" i="9" s="1"/>
  <c r="Q1879" i="9" s="1"/>
  <c r="Q1880" i="9" s="1"/>
  <c r="Q1881" i="9" s="1"/>
  <c r="Q1882" i="9" s="1"/>
  <c r="Q1883" i="9" s="1"/>
  <c r="Q1884" i="9" s="1"/>
  <c r="Q1885" i="9" s="1"/>
  <c r="Q1886" i="9" s="1"/>
  <c r="Q1887" i="9" s="1"/>
  <c r="Q1888" i="9" s="1"/>
  <c r="Q1889" i="9" s="1"/>
  <c r="Q1890" i="9" s="1"/>
  <c r="Q1891" i="9" s="1"/>
  <c r="Q1892" i="9" s="1"/>
  <c r="Q1893" i="9" s="1"/>
  <c r="Q1894" i="9" s="1"/>
  <c r="Q1895" i="9" s="1"/>
  <c r="Q1896" i="9" s="1"/>
  <c r="Q1897" i="9" s="1"/>
  <c r="Q1898" i="9" s="1"/>
  <c r="Q1899" i="9" s="1"/>
  <c r="Q1900" i="9" s="1"/>
  <c r="Q1901" i="9" s="1"/>
  <c r="Q1902" i="9" s="1"/>
  <c r="Q1903" i="9" s="1"/>
  <c r="Q1904" i="9" s="1"/>
  <c r="Q1905" i="9" s="1"/>
  <c r="Q1906" i="9" s="1"/>
  <c r="Q1907" i="9" s="1"/>
  <c r="Q1908" i="9" s="1"/>
  <c r="Q1909" i="9" s="1"/>
  <c r="Q1910" i="9" s="1"/>
  <c r="Q1911" i="9" s="1"/>
  <c r="Q1912" i="9" s="1"/>
  <c r="Q1913" i="9" s="1"/>
  <c r="Q1914" i="9" s="1"/>
  <c r="Q1915" i="9" s="1"/>
  <c r="Q1916" i="9" s="1"/>
  <c r="Q1917" i="9" s="1"/>
  <c r="Q1918" i="9" s="1"/>
  <c r="Q1919" i="9" s="1"/>
  <c r="Q1920" i="9" s="1"/>
  <c r="Q1921" i="9" s="1"/>
  <c r="Q1922" i="9" s="1"/>
  <c r="Q1923" i="9" s="1"/>
  <c r="Q1924" i="9" s="1"/>
  <c r="Q1925" i="9" s="1"/>
  <c r="Q1926" i="9" s="1"/>
  <c r="Q1927" i="9" s="1"/>
  <c r="Q1928" i="9" s="1"/>
  <c r="Q1929" i="9" s="1"/>
  <c r="Q1930" i="9" s="1"/>
  <c r="Q1931" i="9" s="1"/>
  <c r="Q1932" i="9" s="1"/>
  <c r="Q1933" i="9" s="1"/>
  <c r="Q1934" i="9" s="1"/>
  <c r="Q1935" i="9" s="1"/>
  <c r="Q1936" i="9" s="1"/>
  <c r="Q1937" i="9" s="1"/>
  <c r="Q1938" i="9" s="1"/>
  <c r="Q1939" i="9" s="1"/>
  <c r="Q1940" i="9" s="1"/>
  <c r="Q1941" i="9" s="1"/>
  <c r="Q1942" i="9" s="1"/>
  <c r="Q1943" i="9" s="1"/>
  <c r="Q1944" i="9" s="1"/>
  <c r="Q1945" i="9" s="1"/>
  <c r="Q1946" i="9" s="1"/>
  <c r="Q1947" i="9" s="1"/>
  <c r="Q1948" i="9" s="1"/>
  <c r="Q1949" i="9" s="1"/>
  <c r="Q1950" i="9" s="1"/>
  <c r="Q1951" i="9" s="1"/>
  <c r="Q1952" i="9" s="1"/>
  <c r="Q1953" i="9" s="1"/>
  <c r="Q1954" i="9" s="1"/>
  <c r="Q1955" i="9" s="1"/>
  <c r="Q1956" i="9" s="1"/>
  <c r="Q1957" i="9" s="1"/>
  <c r="Q1958" i="9" s="1"/>
  <c r="Q1959" i="9" s="1"/>
  <c r="Q1960" i="9" s="1"/>
  <c r="Q1961" i="9" s="1"/>
  <c r="Q1962" i="9" s="1"/>
  <c r="Q1963" i="9" s="1"/>
  <c r="Q1964" i="9" s="1"/>
  <c r="Q1965" i="9" s="1"/>
  <c r="Q1966" i="9" s="1"/>
  <c r="Q1967" i="9" s="1"/>
  <c r="Q1968" i="9" s="1"/>
  <c r="Q1969" i="9" s="1"/>
  <c r="Q1970" i="9" s="1"/>
  <c r="Q1971" i="9" s="1"/>
  <c r="Q1972" i="9" s="1"/>
  <c r="Q1973" i="9" s="1"/>
  <c r="Q1974" i="9" s="1"/>
  <c r="Q1975" i="9" s="1"/>
  <c r="Q1976" i="9" s="1"/>
  <c r="Q1977" i="9" s="1"/>
  <c r="Q1978" i="9" s="1"/>
  <c r="Q1979" i="9" s="1"/>
  <c r="Q1980" i="9" s="1"/>
  <c r="Q1981" i="9" s="1"/>
  <c r="Q1982" i="9" s="1"/>
  <c r="Q1983" i="9" s="1"/>
  <c r="Q1984" i="9" s="1"/>
  <c r="Q1985" i="9" s="1"/>
  <c r="Q1986" i="9" s="1"/>
  <c r="Q1987" i="9" s="1"/>
  <c r="Q1988" i="9" s="1"/>
  <c r="Q1989" i="9" s="1"/>
  <c r="Q1990" i="9" s="1"/>
  <c r="Q1991" i="9" s="1"/>
  <c r="Q1992" i="9" s="1"/>
  <c r="Q1993" i="9" s="1"/>
  <c r="Q1994" i="9" s="1"/>
  <c r="Q1995" i="9" s="1"/>
  <c r="Q1996" i="9" s="1"/>
  <c r="Q1997" i="9" s="1"/>
  <c r="Q1998" i="9" s="1"/>
  <c r="Q1999" i="9" s="1"/>
  <c r="Q2000" i="9" s="1"/>
  <c r="Q2001" i="9" s="1"/>
  <c r="Q2002" i="9" s="1"/>
  <c r="Q2003" i="9" s="1"/>
  <c r="Q2004" i="9" s="1"/>
  <c r="Q2005" i="9" s="1"/>
  <c r="Q2006" i="9" s="1"/>
  <c r="Q2007" i="9" s="1"/>
  <c r="Q2008" i="9" s="1"/>
  <c r="Q2009" i="9" s="1"/>
  <c r="Q2010" i="9" s="1"/>
  <c r="Q2011" i="9" s="1"/>
  <c r="Q2012" i="9" s="1"/>
  <c r="Q2013" i="9" s="1"/>
  <c r="Q2014" i="9" s="1"/>
  <c r="Q2015" i="9" s="1"/>
  <c r="Q2016" i="9" s="1"/>
  <c r="Q2017" i="9" s="1"/>
  <c r="Q2018" i="9" s="1"/>
  <c r="Q2019" i="9" s="1"/>
  <c r="Q2020" i="9" s="1"/>
  <c r="Q2021" i="9" s="1"/>
  <c r="Q2022" i="9" s="1"/>
  <c r="Q2023" i="9" s="1"/>
  <c r="Q2024" i="9" s="1"/>
  <c r="Q2025" i="9" s="1"/>
  <c r="Q2026" i="9" s="1"/>
  <c r="Q2027" i="9" s="1"/>
  <c r="Q2028" i="9" s="1"/>
  <c r="Q2029" i="9" s="1"/>
  <c r="Q2030" i="9" s="1"/>
  <c r="Q2031" i="9" s="1"/>
  <c r="Q2032" i="9" s="1"/>
  <c r="Q2033" i="9" s="1"/>
  <c r="Q2034" i="9" s="1"/>
  <c r="Q2035" i="9" s="1"/>
  <c r="Q2036" i="9" s="1"/>
  <c r="Q2037" i="9" s="1"/>
  <c r="H54" i="9"/>
  <c r="I53" i="9"/>
  <c r="G60" i="9" s="1"/>
  <c r="G52" i="9"/>
  <c r="I51" i="9"/>
  <c r="Q39" i="9"/>
  <c r="Q40" i="9" s="1"/>
  <c r="Q41" i="9" s="1"/>
  <c r="Q42" i="9" s="1"/>
  <c r="Q43" i="9" s="1"/>
  <c r="Q44" i="9" s="1"/>
  <c r="Q45" i="9" s="1"/>
  <c r="Q46" i="9" s="1"/>
  <c r="Q47" i="9" s="1"/>
  <c r="Q48" i="9" s="1"/>
  <c r="Q49" i="9" s="1"/>
  <c r="Q50" i="9" s="1"/>
  <c r="Q51" i="9" s="1"/>
  <c r="Q52" i="9" s="1"/>
  <c r="Q53" i="9" s="1"/>
  <c r="Q54" i="9" s="1"/>
  <c r="Q55" i="9" s="1"/>
  <c r="Q56" i="9" s="1"/>
  <c r="Q57" i="9" s="1"/>
  <c r="Q58" i="9" s="1"/>
  <c r="Q59" i="9" s="1"/>
  <c r="Q60" i="9" s="1"/>
  <c r="Q61" i="9" s="1"/>
  <c r="Q62" i="9" s="1"/>
  <c r="Q63" i="9" s="1"/>
  <c r="B37" i="9"/>
  <c r="M36" i="9"/>
  <c r="M35" i="9"/>
  <c r="B32" i="9"/>
  <c r="K32" i="9" s="1"/>
  <c r="K46" i="9" s="1"/>
  <c r="B31" i="9"/>
  <c r="B45" i="9" s="1"/>
  <c r="B30" i="9"/>
  <c r="K30" i="9" s="1"/>
  <c r="K44" i="9" s="1"/>
  <c r="B29" i="9"/>
  <c r="B43" i="9" s="1"/>
  <c r="B28" i="9"/>
  <c r="K28" i="9" s="1"/>
  <c r="K42" i="9" s="1"/>
  <c r="B27" i="9"/>
  <c r="B41" i="9" s="1"/>
  <c r="B26" i="9"/>
  <c r="B25" i="9"/>
  <c r="B39" i="9" s="1"/>
  <c r="B24" i="9"/>
  <c r="K23" i="9"/>
  <c r="K37" i="9" s="1"/>
  <c r="N16" i="9"/>
  <c r="E16" i="9"/>
  <c r="C16" i="9"/>
  <c r="N15" i="9"/>
  <c r="E15" i="9"/>
  <c r="C15" i="9"/>
  <c r="N14" i="9"/>
  <c r="N13" i="9"/>
  <c r="C13" i="9"/>
  <c r="N12" i="9"/>
  <c r="C12" i="9"/>
  <c r="N11" i="9"/>
  <c r="N10" i="9"/>
  <c r="E10" i="9"/>
  <c r="C10" i="9" s="1"/>
  <c r="N9" i="9"/>
  <c r="E9" i="9"/>
  <c r="N8" i="9"/>
  <c r="N7" i="9"/>
  <c r="N6" i="9"/>
  <c r="N5" i="9"/>
  <c r="N4" i="9"/>
  <c r="N3" i="9"/>
  <c r="N2" i="9"/>
  <c r="R912" i="8"/>
  <c r="R911" i="8"/>
  <c r="R910" i="8"/>
  <c r="R909" i="8"/>
  <c r="R908" i="8"/>
  <c r="R907" i="8"/>
  <c r="R906" i="8"/>
  <c r="R905" i="8"/>
  <c r="R904" i="8"/>
  <c r="R903" i="8"/>
  <c r="R902" i="8"/>
  <c r="R901" i="8"/>
  <c r="R900" i="8"/>
  <c r="R899" i="8"/>
  <c r="R898" i="8"/>
  <c r="R897" i="8"/>
  <c r="R896" i="8"/>
  <c r="R895" i="8"/>
  <c r="R894" i="8"/>
  <c r="R893" i="8"/>
  <c r="R892" i="8"/>
  <c r="R891" i="8"/>
  <c r="R890" i="8"/>
  <c r="R889" i="8"/>
  <c r="R888" i="8"/>
  <c r="R887" i="8"/>
  <c r="R886" i="8"/>
  <c r="R885" i="8"/>
  <c r="R884" i="8"/>
  <c r="R883" i="8"/>
  <c r="R882" i="8"/>
  <c r="R881" i="8"/>
  <c r="R880" i="8"/>
  <c r="R879" i="8"/>
  <c r="R878" i="8"/>
  <c r="R877" i="8"/>
  <c r="R876" i="8"/>
  <c r="R875" i="8"/>
  <c r="R874" i="8"/>
  <c r="R873" i="8"/>
  <c r="R872" i="8"/>
  <c r="R871" i="8"/>
  <c r="R870" i="8"/>
  <c r="R869" i="8"/>
  <c r="R868" i="8"/>
  <c r="R867" i="8"/>
  <c r="R866" i="8"/>
  <c r="R865" i="8"/>
  <c r="R864" i="8"/>
  <c r="R863" i="8"/>
  <c r="R862" i="8"/>
  <c r="R861" i="8"/>
  <c r="R860" i="8"/>
  <c r="R859" i="8"/>
  <c r="R858" i="8"/>
  <c r="R857" i="8"/>
  <c r="R856" i="8"/>
  <c r="R855" i="8"/>
  <c r="R854" i="8"/>
  <c r="R853" i="8"/>
  <c r="R852" i="8"/>
  <c r="R851" i="8"/>
  <c r="R850" i="8"/>
  <c r="R849" i="8"/>
  <c r="R848" i="8"/>
  <c r="R847" i="8"/>
  <c r="R846" i="8"/>
  <c r="R845" i="8"/>
  <c r="R844" i="8"/>
  <c r="R843" i="8"/>
  <c r="R842" i="8"/>
  <c r="R841" i="8"/>
  <c r="R840" i="8"/>
  <c r="R839" i="8"/>
  <c r="R838" i="8"/>
  <c r="R837" i="8"/>
  <c r="R836" i="8"/>
  <c r="R835" i="8"/>
  <c r="R834" i="8"/>
  <c r="R833" i="8"/>
  <c r="R832" i="8"/>
  <c r="R831" i="8"/>
  <c r="R830" i="8"/>
  <c r="R829" i="8"/>
  <c r="R828" i="8"/>
  <c r="R827" i="8"/>
  <c r="R826" i="8"/>
  <c r="R825" i="8"/>
  <c r="R824" i="8"/>
  <c r="R823" i="8"/>
  <c r="R822" i="8"/>
  <c r="R821" i="8"/>
  <c r="R820" i="8"/>
  <c r="R819" i="8"/>
  <c r="R818" i="8"/>
  <c r="R817" i="8"/>
  <c r="R816" i="8"/>
  <c r="R815" i="8"/>
  <c r="R814" i="8"/>
  <c r="R813" i="8"/>
  <c r="R812" i="8"/>
  <c r="R811" i="8"/>
  <c r="R810" i="8"/>
  <c r="R809" i="8"/>
  <c r="R808" i="8"/>
  <c r="R807" i="8"/>
  <c r="R806" i="8"/>
  <c r="R805" i="8"/>
  <c r="R804" i="8"/>
  <c r="R803" i="8"/>
  <c r="R802" i="8"/>
  <c r="R801" i="8"/>
  <c r="R800" i="8"/>
  <c r="R799" i="8"/>
  <c r="R798" i="8"/>
  <c r="R797" i="8"/>
  <c r="R796" i="8"/>
  <c r="R795" i="8"/>
  <c r="R794" i="8"/>
  <c r="R793" i="8"/>
  <c r="R792" i="8"/>
  <c r="R791" i="8"/>
  <c r="R790" i="8"/>
  <c r="R789" i="8"/>
  <c r="R788" i="8"/>
  <c r="R787" i="8"/>
  <c r="R786" i="8"/>
  <c r="R785" i="8"/>
  <c r="R784" i="8"/>
  <c r="R783" i="8"/>
  <c r="R782" i="8"/>
  <c r="R781" i="8"/>
  <c r="R780" i="8"/>
  <c r="R779" i="8"/>
  <c r="R778" i="8"/>
  <c r="R777" i="8"/>
  <c r="R776" i="8"/>
  <c r="R775" i="8"/>
  <c r="R774" i="8"/>
  <c r="R773" i="8"/>
  <c r="R772" i="8"/>
  <c r="R771" i="8"/>
  <c r="R770" i="8"/>
  <c r="R769" i="8"/>
  <c r="R768" i="8"/>
  <c r="R767" i="8"/>
  <c r="R766" i="8"/>
  <c r="R765" i="8"/>
  <c r="R764" i="8"/>
  <c r="R763" i="8"/>
  <c r="R762" i="8"/>
  <c r="R761" i="8"/>
  <c r="R760" i="8"/>
  <c r="R759" i="8"/>
  <c r="R758" i="8"/>
  <c r="R757" i="8"/>
  <c r="R756" i="8"/>
  <c r="R755" i="8"/>
  <c r="R754" i="8"/>
  <c r="R753" i="8"/>
  <c r="R752" i="8"/>
  <c r="R751" i="8"/>
  <c r="R750" i="8"/>
  <c r="R749" i="8"/>
  <c r="R748" i="8"/>
  <c r="R747" i="8"/>
  <c r="R746" i="8"/>
  <c r="R745" i="8"/>
  <c r="R744" i="8"/>
  <c r="R743" i="8"/>
  <c r="R742" i="8"/>
  <c r="R741" i="8"/>
  <c r="R740" i="8"/>
  <c r="R739" i="8"/>
  <c r="R738" i="8"/>
  <c r="R737" i="8"/>
  <c r="R736" i="8"/>
  <c r="R735" i="8"/>
  <c r="R734" i="8"/>
  <c r="R733" i="8"/>
  <c r="R732" i="8"/>
  <c r="R731" i="8"/>
  <c r="R730" i="8"/>
  <c r="R729" i="8"/>
  <c r="R728" i="8"/>
  <c r="R727" i="8"/>
  <c r="R726" i="8"/>
  <c r="R725" i="8"/>
  <c r="R724" i="8"/>
  <c r="R723" i="8"/>
  <c r="R722" i="8"/>
  <c r="R721" i="8"/>
  <c r="R720" i="8"/>
  <c r="R719" i="8"/>
  <c r="R718" i="8"/>
  <c r="R717" i="8"/>
  <c r="R716" i="8"/>
  <c r="R715" i="8"/>
  <c r="R714" i="8"/>
  <c r="R713" i="8"/>
  <c r="R712" i="8"/>
  <c r="R711" i="8"/>
  <c r="R710" i="8"/>
  <c r="R709" i="8"/>
  <c r="R708" i="8"/>
  <c r="R707" i="8"/>
  <c r="R706" i="8"/>
  <c r="R705" i="8"/>
  <c r="R704" i="8"/>
  <c r="R703" i="8"/>
  <c r="R702" i="8"/>
  <c r="R701" i="8"/>
  <c r="R700" i="8"/>
  <c r="R699" i="8"/>
  <c r="R698" i="8"/>
  <c r="R697" i="8"/>
  <c r="R696" i="8"/>
  <c r="R695" i="8"/>
  <c r="R694" i="8"/>
  <c r="R693" i="8"/>
  <c r="R692" i="8"/>
  <c r="R691" i="8"/>
  <c r="R690" i="8"/>
  <c r="R689" i="8"/>
  <c r="R688" i="8"/>
  <c r="R687" i="8"/>
  <c r="R686" i="8"/>
  <c r="R685" i="8"/>
  <c r="R684" i="8"/>
  <c r="R683" i="8"/>
  <c r="R682" i="8"/>
  <c r="R681" i="8"/>
  <c r="R680" i="8"/>
  <c r="R679" i="8"/>
  <c r="R678" i="8"/>
  <c r="R677" i="8"/>
  <c r="R676" i="8"/>
  <c r="R675" i="8"/>
  <c r="R674" i="8"/>
  <c r="R673" i="8"/>
  <c r="R672" i="8"/>
  <c r="R671" i="8"/>
  <c r="R670" i="8"/>
  <c r="R669" i="8"/>
  <c r="R668" i="8"/>
  <c r="R667" i="8"/>
  <c r="R666" i="8"/>
  <c r="R665" i="8"/>
  <c r="R664" i="8"/>
  <c r="R663" i="8"/>
  <c r="R662" i="8"/>
  <c r="R661" i="8"/>
  <c r="R660" i="8"/>
  <c r="R659" i="8"/>
  <c r="R658" i="8"/>
  <c r="R657" i="8"/>
  <c r="R656" i="8"/>
  <c r="R655" i="8"/>
  <c r="R654" i="8"/>
  <c r="R653" i="8"/>
  <c r="R652" i="8"/>
  <c r="R651" i="8"/>
  <c r="R650" i="8"/>
  <c r="R649" i="8"/>
  <c r="R648" i="8"/>
  <c r="R647" i="8"/>
  <c r="R646" i="8"/>
  <c r="R645" i="8"/>
  <c r="R644" i="8"/>
  <c r="R643" i="8"/>
  <c r="R642" i="8"/>
  <c r="R641" i="8"/>
  <c r="R640" i="8"/>
  <c r="R639" i="8"/>
  <c r="R638" i="8"/>
  <c r="R637" i="8"/>
  <c r="R636" i="8"/>
  <c r="R635" i="8"/>
  <c r="R634" i="8"/>
  <c r="R633" i="8"/>
  <c r="R632" i="8"/>
  <c r="R631" i="8"/>
  <c r="R630" i="8"/>
  <c r="R629" i="8"/>
  <c r="R628" i="8"/>
  <c r="R627" i="8"/>
  <c r="R626" i="8"/>
  <c r="R625" i="8"/>
  <c r="R624" i="8"/>
  <c r="R623" i="8"/>
  <c r="R622" i="8"/>
  <c r="R621" i="8"/>
  <c r="R620" i="8"/>
  <c r="R619" i="8"/>
  <c r="R618" i="8"/>
  <c r="R617" i="8"/>
  <c r="R616" i="8"/>
  <c r="R615" i="8"/>
  <c r="R614" i="8"/>
  <c r="R613" i="8"/>
  <c r="R612" i="8"/>
  <c r="R611" i="8"/>
  <c r="R610" i="8"/>
  <c r="R609" i="8"/>
  <c r="R608" i="8"/>
  <c r="R607" i="8"/>
  <c r="R606" i="8"/>
  <c r="R605" i="8"/>
  <c r="R604" i="8"/>
  <c r="R603" i="8"/>
  <c r="R602" i="8"/>
  <c r="R601" i="8"/>
  <c r="R600" i="8"/>
  <c r="R599" i="8"/>
  <c r="R598" i="8"/>
  <c r="R597" i="8"/>
  <c r="R596" i="8"/>
  <c r="R595" i="8"/>
  <c r="R594" i="8"/>
  <c r="R593" i="8"/>
  <c r="R592" i="8"/>
  <c r="R591" i="8"/>
  <c r="R590" i="8"/>
  <c r="R589" i="8"/>
  <c r="R588" i="8"/>
  <c r="R587" i="8"/>
  <c r="R586" i="8"/>
  <c r="R585" i="8"/>
  <c r="R584" i="8"/>
  <c r="R583" i="8"/>
  <c r="R582" i="8"/>
  <c r="R581" i="8"/>
  <c r="R580" i="8"/>
  <c r="R579" i="8"/>
  <c r="R578" i="8"/>
  <c r="R577" i="8"/>
  <c r="R576" i="8"/>
  <c r="R575" i="8"/>
  <c r="R574" i="8"/>
  <c r="R573" i="8"/>
  <c r="R572" i="8"/>
  <c r="R571" i="8"/>
  <c r="R570" i="8"/>
  <c r="R569" i="8"/>
  <c r="R568" i="8"/>
  <c r="R567" i="8"/>
  <c r="R566" i="8"/>
  <c r="R565" i="8"/>
  <c r="R564" i="8"/>
  <c r="R563" i="8"/>
  <c r="R562" i="8"/>
  <c r="R561" i="8"/>
  <c r="R560" i="8"/>
  <c r="R559" i="8"/>
  <c r="R558" i="8"/>
  <c r="R557" i="8"/>
  <c r="R556" i="8"/>
  <c r="R555" i="8"/>
  <c r="R554" i="8"/>
  <c r="R553" i="8"/>
  <c r="R552" i="8"/>
  <c r="R551" i="8"/>
  <c r="R550" i="8"/>
  <c r="R549" i="8"/>
  <c r="R548" i="8"/>
  <c r="R547" i="8"/>
  <c r="R546" i="8"/>
  <c r="R545" i="8"/>
  <c r="R544" i="8"/>
  <c r="R543" i="8"/>
  <c r="R542" i="8"/>
  <c r="R541" i="8"/>
  <c r="R540" i="8"/>
  <c r="R539" i="8"/>
  <c r="R538" i="8"/>
  <c r="R537" i="8"/>
  <c r="R536" i="8"/>
  <c r="R535" i="8"/>
  <c r="R534" i="8"/>
  <c r="R533" i="8"/>
  <c r="R532" i="8"/>
  <c r="R531" i="8"/>
  <c r="R530" i="8"/>
  <c r="R529" i="8"/>
  <c r="R528" i="8"/>
  <c r="R527" i="8"/>
  <c r="R526" i="8"/>
  <c r="R525" i="8"/>
  <c r="R524" i="8"/>
  <c r="R523" i="8"/>
  <c r="R522" i="8"/>
  <c r="R521" i="8"/>
  <c r="R520" i="8"/>
  <c r="R519" i="8"/>
  <c r="R518" i="8"/>
  <c r="R517" i="8"/>
  <c r="R516" i="8"/>
  <c r="R515" i="8"/>
  <c r="R514" i="8"/>
  <c r="R513" i="8"/>
  <c r="R512" i="8"/>
  <c r="R511" i="8"/>
  <c r="R510" i="8"/>
  <c r="R509" i="8"/>
  <c r="R508" i="8"/>
  <c r="R507" i="8"/>
  <c r="R506" i="8"/>
  <c r="R505" i="8"/>
  <c r="R504" i="8"/>
  <c r="R503" i="8"/>
  <c r="R502" i="8"/>
  <c r="R501" i="8"/>
  <c r="R500" i="8"/>
  <c r="R499" i="8"/>
  <c r="R498" i="8"/>
  <c r="R497" i="8"/>
  <c r="R496" i="8"/>
  <c r="R495" i="8"/>
  <c r="R494" i="8"/>
  <c r="R493" i="8"/>
  <c r="R492" i="8"/>
  <c r="R491" i="8"/>
  <c r="R490" i="8"/>
  <c r="R489" i="8"/>
  <c r="R488" i="8"/>
  <c r="R487" i="8"/>
  <c r="R486" i="8"/>
  <c r="R485" i="8"/>
  <c r="R484" i="8"/>
  <c r="R483" i="8"/>
  <c r="R482" i="8"/>
  <c r="R481" i="8"/>
  <c r="R480" i="8"/>
  <c r="R479" i="8"/>
  <c r="R478" i="8"/>
  <c r="R477" i="8"/>
  <c r="R476" i="8"/>
  <c r="R475" i="8"/>
  <c r="R474" i="8"/>
  <c r="R473" i="8"/>
  <c r="R472" i="8"/>
  <c r="R471" i="8"/>
  <c r="R470" i="8"/>
  <c r="R469" i="8"/>
  <c r="R468" i="8"/>
  <c r="R467" i="8"/>
  <c r="R466" i="8"/>
  <c r="R465" i="8"/>
  <c r="R464" i="8"/>
  <c r="R463" i="8"/>
  <c r="R462" i="8"/>
  <c r="R461" i="8"/>
  <c r="R460" i="8"/>
  <c r="R459" i="8"/>
  <c r="R458" i="8"/>
  <c r="R457" i="8"/>
  <c r="R456" i="8"/>
  <c r="R455" i="8"/>
  <c r="R454" i="8"/>
  <c r="R453" i="8"/>
  <c r="R452" i="8"/>
  <c r="R451" i="8"/>
  <c r="R450" i="8"/>
  <c r="R449" i="8"/>
  <c r="R448" i="8"/>
  <c r="R447" i="8"/>
  <c r="R446" i="8"/>
  <c r="R445" i="8"/>
  <c r="R444" i="8"/>
  <c r="R443" i="8"/>
  <c r="R442" i="8"/>
  <c r="R441" i="8"/>
  <c r="R440" i="8"/>
  <c r="R439" i="8"/>
  <c r="R438" i="8"/>
  <c r="R437" i="8"/>
  <c r="R436" i="8"/>
  <c r="R435" i="8"/>
  <c r="R434" i="8"/>
  <c r="R433" i="8"/>
  <c r="R432" i="8"/>
  <c r="R431" i="8"/>
  <c r="R430" i="8"/>
  <c r="R429" i="8"/>
  <c r="R428" i="8"/>
  <c r="R427" i="8"/>
  <c r="R426" i="8"/>
  <c r="R425" i="8"/>
  <c r="R424" i="8"/>
  <c r="R423" i="8"/>
  <c r="R422" i="8"/>
  <c r="R421" i="8"/>
  <c r="R420" i="8"/>
  <c r="R419" i="8"/>
  <c r="R418" i="8"/>
  <c r="R417" i="8"/>
  <c r="R416" i="8"/>
  <c r="R415" i="8"/>
  <c r="R414" i="8"/>
  <c r="R413" i="8"/>
  <c r="R412" i="8"/>
  <c r="R411" i="8"/>
  <c r="R410" i="8"/>
  <c r="R409" i="8"/>
  <c r="R408" i="8"/>
  <c r="R407" i="8"/>
  <c r="R406" i="8"/>
  <c r="R405" i="8"/>
  <c r="R404" i="8"/>
  <c r="R403" i="8"/>
  <c r="R402" i="8"/>
  <c r="R401" i="8"/>
  <c r="R400" i="8"/>
  <c r="R399" i="8"/>
  <c r="R398" i="8"/>
  <c r="R397" i="8"/>
  <c r="R396" i="8"/>
  <c r="R395" i="8"/>
  <c r="R394" i="8"/>
  <c r="R393" i="8"/>
  <c r="R392" i="8"/>
  <c r="R391" i="8"/>
  <c r="R390" i="8"/>
  <c r="R389" i="8"/>
  <c r="R388" i="8"/>
  <c r="R387" i="8"/>
  <c r="R386" i="8"/>
  <c r="R385" i="8"/>
  <c r="R384" i="8"/>
  <c r="R383" i="8"/>
  <c r="R382" i="8"/>
  <c r="R381" i="8"/>
  <c r="R380" i="8"/>
  <c r="R379" i="8"/>
  <c r="R378" i="8"/>
  <c r="R377" i="8"/>
  <c r="R376" i="8"/>
  <c r="R375" i="8"/>
  <c r="R374" i="8"/>
  <c r="R373" i="8"/>
  <c r="R372" i="8"/>
  <c r="R371" i="8"/>
  <c r="R370" i="8"/>
  <c r="R369" i="8"/>
  <c r="R368" i="8"/>
  <c r="R367" i="8"/>
  <c r="R366" i="8"/>
  <c r="R365" i="8"/>
  <c r="R364" i="8"/>
  <c r="R363" i="8"/>
  <c r="R362" i="8"/>
  <c r="R361" i="8"/>
  <c r="R360" i="8"/>
  <c r="R359" i="8"/>
  <c r="R358" i="8"/>
  <c r="R357" i="8"/>
  <c r="R356" i="8"/>
  <c r="R355" i="8"/>
  <c r="R354" i="8"/>
  <c r="R353" i="8"/>
  <c r="R352" i="8"/>
  <c r="R351" i="8"/>
  <c r="R350" i="8"/>
  <c r="R349" i="8"/>
  <c r="R348" i="8"/>
  <c r="R347" i="8"/>
  <c r="R346" i="8"/>
  <c r="R345" i="8"/>
  <c r="R344" i="8"/>
  <c r="R343" i="8"/>
  <c r="R342" i="8"/>
  <c r="R341" i="8"/>
  <c r="R340" i="8"/>
  <c r="R339" i="8"/>
  <c r="R338" i="8"/>
  <c r="R337" i="8"/>
  <c r="R336" i="8"/>
  <c r="R335" i="8"/>
  <c r="R334" i="8"/>
  <c r="R333" i="8"/>
  <c r="R332" i="8"/>
  <c r="R331" i="8"/>
  <c r="R330" i="8"/>
  <c r="R329" i="8"/>
  <c r="R328" i="8"/>
  <c r="R327" i="8"/>
  <c r="R326" i="8"/>
  <c r="R325" i="8"/>
  <c r="R324" i="8"/>
  <c r="R323" i="8"/>
  <c r="R322" i="8"/>
  <c r="R321" i="8"/>
  <c r="R320" i="8"/>
  <c r="R319" i="8"/>
  <c r="R318" i="8"/>
  <c r="R317" i="8"/>
  <c r="R316" i="8"/>
  <c r="R315" i="8"/>
  <c r="R314" i="8"/>
  <c r="R313" i="8"/>
  <c r="R312" i="8"/>
  <c r="R311" i="8"/>
  <c r="R310" i="8"/>
  <c r="R309" i="8"/>
  <c r="R308" i="8"/>
  <c r="R307" i="8"/>
  <c r="R306" i="8"/>
  <c r="R305" i="8"/>
  <c r="R304" i="8"/>
  <c r="R303" i="8"/>
  <c r="R302" i="8"/>
  <c r="R301" i="8"/>
  <c r="R300" i="8"/>
  <c r="R299" i="8"/>
  <c r="R298" i="8"/>
  <c r="R297" i="8"/>
  <c r="R296" i="8"/>
  <c r="R295" i="8"/>
  <c r="R294" i="8"/>
  <c r="R293" i="8"/>
  <c r="R292" i="8"/>
  <c r="R291" i="8"/>
  <c r="R290" i="8"/>
  <c r="R289" i="8"/>
  <c r="R288" i="8"/>
  <c r="R287" i="8"/>
  <c r="R286" i="8"/>
  <c r="R285" i="8"/>
  <c r="R284" i="8"/>
  <c r="R283" i="8"/>
  <c r="R282" i="8"/>
  <c r="R281" i="8"/>
  <c r="R280" i="8"/>
  <c r="R279" i="8"/>
  <c r="R278" i="8"/>
  <c r="R277" i="8"/>
  <c r="R276" i="8"/>
  <c r="R275" i="8"/>
  <c r="R274" i="8"/>
  <c r="R273" i="8"/>
  <c r="R272" i="8"/>
  <c r="R271" i="8"/>
  <c r="R270" i="8"/>
  <c r="R269" i="8"/>
  <c r="R268" i="8"/>
  <c r="R267" i="8"/>
  <c r="R266" i="8"/>
  <c r="R265" i="8"/>
  <c r="R264" i="8"/>
  <c r="R263" i="8"/>
  <c r="R262" i="8"/>
  <c r="R261" i="8"/>
  <c r="R260" i="8"/>
  <c r="R259" i="8"/>
  <c r="R258" i="8"/>
  <c r="R257" i="8"/>
  <c r="R256" i="8"/>
  <c r="R255" i="8"/>
  <c r="R254" i="8"/>
  <c r="R253" i="8"/>
  <c r="R252" i="8"/>
  <c r="R251" i="8"/>
  <c r="R250" i="8"/>
  <c r="R249" i="8"/>
  <c r="R248" i="8"/>
  <c r="R247" i="8"/>
  <c r="R246" i="8"/>
  <c r="R245" i="8"/>
  <c r="R244" i="8"/>
  <c r="R243" i="8"/>
  <c r="R242" i="8"/>
  <c r="R241" i="8"/>
  <c r="R240" i="8"/>
  <c r="R239" i="8"/>
  <c r="R238" i="8"/>
  <c r="R237" i="8"/>
  <c r="R236" i="8"/>
  <c r="R235" i="8"/>
  <c r="R234" i="8"/>
  <c r="R233" i="8"/>
  <c r="R232" i="8"/>
  <c r="R231" i="8"/>
  <c r="R230" i="8"/>
  <c r="R229" i="8"/>
  <c r="R228" i="8"/>
  <c r="R227" i="8"/>
  <c r="R226" i="8"/>
  <c r="R225" i="8"/>
  <c r="R224" i="8"/>
  <c r="I54" i="8"/>
  <c r="J53" i="8"/>
  <c r="H60" i="8" s="1"/>
  <c r="H52" i="8"/>
  <c r="J51" i="8"/>
  <c r="Q39" i="8"/>
  <c r="Q40" i="8" s="1"/>
  <c r="Q41" i="8" s="1"/>
  <c r="Q42" i="8" s="1"/>
  <c r="Q43" i="8" s="1"/>
  <c r="Q44" i="8" s="1"/>
  <c r="Q45" i="8" s="1"/>
  <c r="Q46" i="8" s="1"/>
  <c r="Q47" i="8" s="1"/>
  <c r="Q48" i="8" s="1"/>
  <c r="Q49" i="8" s="1"/>
  <c r="Q50" i="8" s="1"/>
  <c r="Q51" i="8" s="1"/>
  <c r="Q52" i="8" s="1"/>
  <c r="Q53" i="8" s="1"/>
  <c r="Q54" i="8" s="1"/>
  <c r="Q55" i="8" s="1"/>
  <c r="Q56" i="8" s="1"/>
  <c r="Q57" i="8" s="1"/>
  <c r="Q58" i="8" s="1"/>
  <c r="Q59" i="8" s="1"/>
  <c r="Q60" i="8" s="1"/>
  <c r="Q61" i="8" s="1"/>
  <c r="Q62" i="8" s="1"/>
  <c r="Q63" i="8" s="1"/>
  <c r="Q64" i="8" s="1"/>
  <c r="Q65" i="8" s="1"/>
  <c r="Q66" i="8" s="1"/>
  <c r="Q67" i="8" s="1"/>
  <c r="Q68" i="8" s="1"/>
  <c r="Q69" i="8" s="1"/>
  <c r="Q70" i="8" s="1"/>
  <c r="Q71" i="8" s="1"/>
  <c r="Q72" i="8" s="1"/>
  <c r="Q73" i="8" s="1"/>
  <c r="Q74" i="8" s="1"/>
  <c r="Q75" i="8" s="1"/>
  <c r="Q76" i="8" s="1"/>
  <c r="Q77" i="8" s="1"/>
  <c r="Q78" i="8" s="1"/>
  <c r="Q79" i="8" s="1"/>
  <c r="Q80" i="8" s="1"/>
  <c r="Q81" i="8" s="1"/>
  <c r="Q82" i="8" s="1"/>
  <c r="Q83" i="8" s="1"/>
  <c r="Q84" i="8" s="1"/>
  <c r="Q85" i="8" s="1"/>
  <c r="Q86" i="8" s="1"/>
  <c r="Q87" i="8" s="1"/>
  <c r="Q88" i="8" s="1"/>
  <c r="Q89" i="8" s="1"/>
  <c r="Q90" i="8" s="1"/>
  <c r="Q91" i="8" s="1"/>
  <c r="Q92" i="8" s="1"/>
  <c r="Q93" i="8" s="1"/>
  <c r="Q94" i="8" s="1"/>
  <c r="Q95" i="8" s="1"/>
  <c r="Q96" i="8" s="1"/>
  <c r="Q97" i="8" s="1"/>
  <c r="Q98" i="8" s="1"/>
  <c r="Q99" i="8" s="1"/>
  <c r="Q100" i="8" s="1"/>
  <c r="Q101" i="8" s="1"/>
  <c r="Q102" i="8" s="1"/>
  <c r="Q103" i="8" s="1"/>
  <c r="Q104" i="8" s="1"/>
  <c r="Q105" i="8" s="1"/>
  <c r="Q106" i="8" s="1"/>
  <c r="Q107" i="8" s="1"/>
  <c r="Q108" i="8" s="1"/>
  <c r="Q109" i="8" s="1"/>
  <c r="Q110" i="8" s="1"/>
  <c r="Q111" i="8" s="1"/>
  <c r="Q112" i="8" s="1"/>
  <c r="Q113" i="8" s="1"/>
  <c r="Q114" i="8" s="1"/>
  <c r="Q115" i="8" s="1"/>
  <c r="Q116" i="8" s="1"/>
  <c r="Q117" i="8" s="1"/>
  <c r="Q118" i="8" s="1"/>
  <c r="Q119" i="8" s="1"/>
  <c r="Q120" i="8" s="1"/>
  <c r="Q121" i="8" s="1"/>
  <c r="Q122" i="8" s="1"/>
  <c r="Q123" i="8" s="1"/>
  <c r="Q124" i="8" s="1"/>
  <c r="Q125" i="8" s="1"/>
  <c r="Q126" i="8" s="1"/>
  <c r="Q127" i="8" s="1"/>
  <c r="Q128" i="8" s="1"/>
  <c r="Q129" i="8" s="1"/>
  <c r="Q130" i="8" s="1"/>
  <c r="Q131" i="8" s="1"/>
  <c r="Q132" i="8" s="1"/>
  <c r="Q133" i="8" s="1"/>
  <c r="Q134" i="8" s="1"/>
  <c r="Q135" i="8" s="1"/>
  <c r="Q136" i="8" s="1"/>
  <c r="Q137" i="8" s="1"/>
  <c r="Q138" i="8" s="1"/>
  <c r="Q139" i="8" s="1"/>
  <c r="Q140" i="8" s="1"/>
  <c r="Q141" i="8" s="1"/>
  <c r="Q142" i="8" s="1"/>
  <c r="Q143" i="8" s="1"/>
  <c r="Q144" i="8" s="1"/>
  <c r="Q145" i="8" s="1"/>
  <c r="Q146" i="8" s="1"/>
  <c r="Q147" i="8" s="1"/>
  <c r="Q148" i="8" s="1"/>
  <c r="Q149" i="8" s="1"/>
  <c r="Q150" i="8" s="1"/>
  <c r="Q151" i="8" s="1"/>
  <c r="Q152" i="8" s="1"/>
  <c r="Q153" i="8" s="1"/>
  <c r="Q154" i="8" s="1"/>
  <c r="Q155" i="8" s="1"/>
  <c r="Q156" i="8" s="1"/>
  <c r="Q157" i="8" s="1"/>
  <c r="Q158" i="8" s="1"/>
  <c r="Q159" i="8" s="1"/>
  <c r="Q160" i="8" s="1"/>
  <c r="Q161" i="8" s="1"/>
  <c r="Q162" i="8" s="1"/>
  <c r="Q163" i="8" s="1"/>
  <c r="Q164" i="8" s="1"/>
  <c r="Q165" i="8" s="1"/>
  <c r="Q166" i="8" s="1"/>
  <c r="Q167" i="8" s="1"/>
  <c r="Q168" i="8" s="1"/>
  <c r="Q169" i="8" s="1"/>
  <c r="Q170" i="8" s="1"/>
  <c r="Q171" i="8" s="1"/>
  <c r="Q172" i="8" s="1"/>
  <c r="Q173" i="8" s="1"/>
  <c r="Q174" i="8" s="1"/>
  <c r="Q175" i="8" s="1"/>
  <c r="Q176" i="8" s="1"/>
  <c r="Q177" i="8" s="1"/>
  <c r="Q178" i="8" s="1"/>
  <c r="Q179" i="8" s="1"/>
  <c r="Q180" i="8" s="1"/>
  <c r="Q181" i="8" s="1"/>
  <c r="Q182" i="8" s="1"/>
  <c r="Q183" i="8" s="1"/>
  <c r="Q184" i="8" s="1"/>
  <c r="Q185" i="8" s="1"/>
  <c r="Q186" i="8" s="1"/>
  <c r="Q187" i="8" s="1"/>
  <c r="Q188" i="8" s="1"/>
  <c r="Q189" i="8" s="1"/>
  <c r="Q190" i="8" s="1"/>
  <c r="Q191" i="8" s="1"/>
  <c r="Q192" i="8" s="1"/>
  <c r="Q193" i="8" s="1"/>
  <c r="Q194" i="8" s="1"/>
  <c r="Q195" i="8" s="1"/>
  <c r="Q196" i="8" s="1"/>
  <c r="Q197" i="8" s="1"/>
  <c r="Q198" i="8" s="1"/>
  <c r="Q199" i="8" s="1"/>
  <c r="Q200" i="8" s="1"/>
  <c r="Q201" i="8" s="1"/>
  <c r="Q202" i="8" s="1"/>
  <c r="Q203" i="8" s="1"/>
  <c r="Q204" i="8" s="1"/>
  <c r="Q205" i="8" s="1"/>
  <c r="Q206" i="8" s="1"/>
  <c r="Q207" i="8" s="1"/>
  <c r="Q208" i="8" s="1"/>
  <c r="Q209" i="8" s="1"/>
  <c r="Q210" i="8" s="1"/>
  <c r="Q211" i="8" s="1"/>
  <c r="Q212" i="8" s="1"/>
  <c r="Q213" i="8" s="1"/>
  <c r="Q214" i="8" s="1"/>
  <c r="Q215" i="8" s="1"/>
  <c r="Q216" i="8" s="1"/>
  <c r="Q217" i="8" s="1"/>
  <c r="Q218" i="8" s="1"/>
  <c r="Q219" i="8" s="1"/>
  <c r="Q220" i="8" s="1"/>
  <c r="Q221" i="8" s="1"/>
  <c r="Q222" i="8" s="1"/>
  <c r="Q223" i="8" s="1"/>
  <c r="Q224" i="8" s="1"/>
  <c r="Q225" i="8" s="1"/>
  <c r="Q226" i="8" s="1"/>
  <c r="Q227" i="8" s="1"/>
  <c r="Q228" i="8" s="1"/>
  <c r="Q229" i="8" s="1"/>
  <c r="Q230" i="8" s="1"/>
  <c r="Q231" i="8" s="1"/>
  <c r="Q232" i="8" s="1"/>
  <c r="Q233" i="8" s="1"/>
  <c r="Q234" i="8" s="1"/>
  <c r="Q235" i="8" s="1"/>
  <c r="Q236" i="8" s="1"/>
  <c r="Q237" i="8" s="1"/>
  <c r="Q238" i="8" s="1"/>
  <c r="Q239" i="8" s="1"/>
  <c r="Q240" i="8" s="1"/>
  <c r="Q241" i="8" s="1"/>
  <c r="Q242" i="8" s="1"/>
  <c r="Q243" i="8" s="1"/>
  <c r="Q244" i="8" s="1"/>
  <c r="Q245" i="8" s="1"/>
  <c r="Q246" i="8" s="1"/>
  <c r="Q247" i="8" s="1"/>
  <c r="Q248" i="8" s="1"/>
  <c r="Q249" i="8" s="1"/>
  <c r="Q250" i="8" s="1"/>
  <c r="Q251" i="8" s="1"/>
  <c r="Q252" i="8" s="1"/>
  <c r="Q253" i="8" s="1"/>
  <c r="Q254" i="8" s="1"/>
  <c r="Q255" i="8" s="1"/>
  <c r="Q256" i="8" s="1"/>
  <c r="Q257" i="8" s="1"/>
  <c r="Q258" i="8" s="1"/>
  <c r="Q259" i="8" s="1"/>
  <c r="Q260" i="8" s="1"/>
  <c r="Q261" i="8" s="1"/>
  <c r="Q262" i="8" s="1"/>
  <c r="Q263" i="8" s="1"/>
  <c r="Q264" i="8" s="1"/>
  <c r="Q265" i="8" s="1"/>
  <c r="Q266" i="8" s="1"/>
  <c r="Q267" i="8" s="1"/>
  <c r="Q268" i="8" s="1"/>
  <c r="Q269" i="8" s="1"/>
  <c r="Q270" i="8" s="1"/>
  <c r="Q271" i="8" s="1"/>
  <c r="Q272" i="8" s="1"/>
  <c r="Q273" i="8" s="1"/>
  <c r="Q274" i="8" s="1"/>
  <c r="Q275" i="8" s="1"/>
  <c r="Q276" i="8" s="1"/>
  <c r="Q277" i="8" s="1"/>
  <c r="Q278" i="8" s="1"/>
  <c r="Q279" i="8" s="1"/>
  <c r="Q280" i="8" s="1"/>
  <c r="Q281" i="8" s="1"/>
  <c r="Q282" i="8" s="1"/>
  <c r="Q283" i="8" s="1"/>
  <c r="Q284" i="8" s="1"/>
  <c r="Q285" i="8" s="1"/>
  <c r="Q286" i="8" s="1"/>
  <c r="Q287" i="8" s="1"/>
  <c r="Q288" i="8" s="1"/>
  <c r="Q289" i="8" s="1"/>
  <c r="Q290" i="8" s="1"/>
  <c r="Q291" i="8" s="1"/>
  <c r="Q292" i="8" s="1"/>
  <c r="Q293" i="8" s="1"/>
  <c r="Q294" i="8" s="1"/>
  <c r="Q295" i="8" s="1"/>
  <c r="Q296" i="8" s="1"/>
  <c r="Q297" i="8" s="1"/>
  <c r="Q298" i="8" s="1"/>
  <c r="Q299" i="8" s="1"/>
  <c r="Q300" i="8" s="1"/>
  <c r="Q301" i="8" s="1"/>
  <c r="Q302" i="8" s="1"/>
  <c r="Q303" i="8" s="1"/>
  <c r="Q304" i="8" s="1"/>
  <c r="Q305" i="8" s="1"/>
  <c r="Q306" i="8" s="1"/>
  <c r="Q307" i="8" s="1"/>
  <c r="Q308" i="8" s="1"/>
  <c r="Q309" i="8" s="1"/>
  <c r="Q310" i="8" s="1"/>
  <c r="Q311" i="8" s="1"/>
  <c r="Q312" i="8" s="1"/>
  <c r="Q313" i="8" s="1"/>
  <c r="Q314" i="8" s="1"/>
  <c r="Q315" i="8" s="1"/>
  <c r="Q316" i="8" s="1"/>
  <c r="Q317" i="8" s="1"/>
  <c r="Q318" i="8" s="1"/>
  <c r="Q319" i="8" s="1"/>
  <c r="Q320" i="8" s="1"/>
  <c r="Q321" i="8" s="1"/>
  <c r="Q322" i="8" s="1"/>
  <c r="Q323" i="8" s="1"/>
  <c r="Q324" i="8" s="1"/>
  <c r="Q325" i="8" s="1"/>
  <c r="Q326" i="8" s="1"/>
  <c r="Q327" i="8" s="1"/>
  <c r="Q328" i="8" s="1"/>
  <c r="Q329" i="8" s="1"/>
  <c r="Q330" i="8" s="1"/>
  <c r="Q331" i="8" s="1"/>
  <c r="Q332" i="8" s="1"/>
  <c r="Q333" i="8" s="1"/>
  <c r="Q334" i="8" s="1"/>
  <c r="Q335" i="8" s="1"/>
  <c r="Q336" i="8" s="1"/>
  <c r="Q337" i="8" s="1"/>
  <c r="Q338" i="8" s="1"/>
  <c r="Q339" i="8" s="1"/>
  <c r="Q340" i="8" s="1"/>
  <c r="Q341" i="8" s="1"/>
  <c r="Q342" i="8" s="1"/>
  <c r="Q343" i="8" s="1"/>
  <c r="Q344" i="8" s="1"/>
  <c r="Q345" i="8" s="1"/>
  <c r="Q346" i="8" s="1"/>
  <c r="Q347" i="8" s="1"/>
  <c r="Q348" i="8" s="1"/>
  <c r="Q349" i="8" s="1"/>
  <c r="Q350" i="8" s="1"/>
  <c r="Q351" i="8" s="1"/>
  <c r="Q352" i="8" s="1"/>
  <c r="Q353" i="8" s="1"/>
  <c r="Q354" i="8" s="1"/>
  <c r="Q355" i="8" s="1"/>
  <c r="Q356" i="8" s="1"/>
  <c r="Q357" i="8" s="1"/>
  <c r="Q358" i="8" s="1"/>
  <c r="Q359" i="8" s="1"/>
  <c r="Q360" i="8" s="1"/>
  <c r="Q361" i="8" s="1"/>
  <c r="Q362" i="8" s="1"/>
  <c r="Q363" i="8" s="1"/>
  <c r="Q364" i="8" s="1"/>
  <c r="Q365" i="8" s="1"/>
  <c r="Q366" i="8" s="1"/>
  <c r="Q367" i="8" s="1"/>
  <c r="Q368" i="8" s="1"/>
  <c r="Q369" i="8" s="1"/>
  <c r="Q370" i="8" s="1"/>
  <c r="Q371" i="8" s="1"/>
  <c r="Q372" i="8" s="1"/>
  <c r="Q373" i="8" s="1"/>
  <c r="Q374" i="8" s="1"/>
  <c r="Q375" i="8" s="1"/>
  <c r="Q376" i="8" s="1"/>
  <c r="Q377" i="8" s="1"/>
  <c r="Q378" i="8" s="1"/>
  <c r="Q379" i="8" s="1"/>
  <c r="Q380" i="8" s="1"/>
  <c r="Q381" i="8" s="1"/>
  <c r="Q382" i="8" s="1"/>
  <c r="Q383" i="8" s="1"/>
  <c r="Q384" i="8" s="1"/>
  <c r="Q385" i="8" s="1"/>
  <c r="Q386" i="8" s="1"/>
  <c r="Q387" i="8" s="1"/>
  <c r="Q388" i="8" s="1"/>
  <c r="Q389" i="8" s="1"/>
  <c r="Q390" i="8" s="1"/>
  <c r="Q391" i="8" s="1"/>
  <c r="Q392" i="8" s="1"/>
  <c r="Q393" i="8" s="1"/>
  <c r="Q394" i="8" s="1"/>
  <c r="Q395" i="8" s="1"/>
  <c r="Q396" i="8" s="1"/>
  <c r="Q397" i="8" s="1"/>
  <c r="Q398" i="8" s="1"/>
  <c r="Q399" i="8" s="1"/>
  <c r="Q400" i="8" s="1"/>
  <c r="Q401" i="8" s="1"/>
  <c r="Q402" i="8" s="1"/>
  <c r="Q403" i="8" s="1"/>
  <c r="Q404" i="8" s="1"/>
  <c r="Q405" i="8" s="1"/>
  <c r="Q406" i="8" s="1"/>
  <c r="Q407" i="8" s="1"/>
  <c r="Q408" i="8" s="1"/>
  <c r="Q409" i="8" s="1"/>
  <c r="Q410" i="8" s="1"/>
  <c r="Q411" i="8" s="1"/>
  <c r="Q412" i="8" s="1"/>
  <c r="Q413" i="8" s="1"/>
  <c r="Q414" i="8" s="1"/>
  <c r="Q415" i="8" s="1"/>
  <c r="Q416" i="8" s="1"/>
  <c r="Q417" i="8" s="1"/>
  <c r="Q418" i="8" s="1"/>
  <c r="Q419" i="8" s="1"/>
  <c r="Q420" i="8" s="1"/>
  <c r="Q421" i="8" s="1"/>
  <c r="Q422" i="8" s="1"/>
  <c r="Q423" i="8" s="1"/>
  <c r="Q424" i="8" s="1"/>
  <c r="Q425" i="8" s="1"/>
  <c r="Q426" i="8" s="1"/>
  <c r="Q427" i="8" s="1"/>
  <c r="Q428" i="8" s="1"/>
  <c r="Q429" i="8" s="1"/>
  <c r="Q430" i="8" s="1"/>
  <c r="Q431" i="8" s="1"/>
  <c r="Q432" i="8" s="1"/>
  <c r="Q433" i="8" s="1"/>
  <c r="Q434" i="8" s="1"/>
  <c r="Q435" i="8" s="1"/>
  <c r="Q436" i="8" s="1"/>
  <c r="Q437" i="8" s="1"/>
  <c r="Q438" i="8" s="1"/>
  <c r="Q439" i="8" s="1"/>
  <c r="Q440" i="8" s="1"/>
  <c r="Q441" i="8" s="1"/>
  <c r="Q442" i="8" s="1"/>
  <c r="Q443" i="8" s="1"/>
  <c r="Q444" i="8" s="1"/>
  <c r="Q445" i="8" s="1"/>
  <c r="Q446" i="8" s="1"/>
  <c r="Q447" i="8" s="1"/>
  <c r="Q448" i="8" s="1"/>
  <c r="Q449" i="8" s="1"/>
  <c r="Q450" i="8" s="1"/>
  <c r="Q451" i="8" s="1"/>
  <c r="Q452" i="8" s="1"/>
  <c r="Q453" i="8" s="1"/>
  <c r="Q454" i="8" s="1"/>
  <c r="Q455" i="8" s="1"/>
  <c r="Q456" i="8" s="1"/>
  <c r="Q457" i="8" s="1"/>
  <c r="Q458" i="8" s="1"/>
  <c r="Q459" i="8" s="1"/>
  <c r="Q460" i="8" s="1"/>
  <c r="Q461" i="8" s="1"/>
  <c r="Q462" i="8" s="1"/>
  <c r="Q463" i="8" s="1"/>
  <c r="Q464" i="8" s="1"/>
  <c r="Q465" i="8" s="1"/>
  <c r="Q466" i="8" s="1"/>
  <c r="Q467" i="8" s="1"/>
  <c r="Q468" i="8" s="1"/>
  <c r="Q469" i="8" s="1"/>
  <c r="Q470" i="8" s="1"/>
  <c r="Q471" i="8" s="1"/>
  <c r="Q472" i="8" s="1"/>
  <c r="Q473" i="8" s="1"/>
  <c r="Q474" i="8" s="1"/>
  <c r="Q475" i="8" s="1"/>
  <c r="Q476" i="8" s="1"/>
  <c r="Q477" i="8" s="1"/>
  <c r="Q478" i="8" s="1"/>
  <c r="Q479" i="8" s="1"/>
  <c r="Q480" i="8" s="1"/>
  <c r="Q481" i="8" s="1"/>
  <c r="Q482" i="8" s="1"/>
  <c r="Q483" i="8" s="1"/>
  <c r="Q484" i="8" s="1"/>
  <c r="Q485" i="8" s="1"/>
  <c r="Q486" i="8" s="1"/>
  <c r="Q487" i="8" s="1"/>
  <c r="Q488" i="8" s="1"/>
  <c r="Q489" i="8" s="1"/>
  <c r="Q490" i="8" s="1"/>
  <c r="Q491" i="8" s="1"/>
  <c r="Q492" i="8" s="1"/>
  <c r="Q493" i="8" s="1"/>
  <c r="Q494" i="8" s="1"/>
  <c r="Q495" i="8" s="1"/>
  <c r="Q496" i="8" s="1"/>
  <c r="Q497" i="8" s="1"/>
  <c r="Q498" i="8" s="1"/>
  <c r="Q499" i="8" s="1"/>
  <c r="Q500" i="8" s="1"/>
  <c r="Q501" i="8" s="1"/>
  <c r="Q502" i="8" s="1"/>
  <c r="Q503" i="8" s="1"/>
  <c r="Q504" i="8" s="1"/>
  <c r="Q505" i="8" s="1"/>
  <c r="Q506" i="8" s="1"/>
  <c r="Q507" i="8" s="1"/>
  <c r="Q508" i="8" s="1"/>
  <c r="Q509" i="8" s="1"/>
  <c r="Q510" i="8" s="1"/>
  <c r="Q511" i="8" s="1"/>
  <c r="Q512" i="8" s="1"/>
  <c r="Q513" i="8" s="1"/>
  <c r="Q514" i="8" s="1"/>
  <c r="Q515" i="8" s="1"/>
  <c r="Q516" i="8" s="1"/>
  <c r="Q517" i="8" s="1"/>
  <c r="Q518" i="8" s="1"/>
  <c r="Q519" i="8" s="1"/>
  <c r="Q520" i="8" s="1"/>
  <c r="Q521" i="8" s="1"/>
  <c r="Q522" i="8" s="1"/>
  <c r="Q523" i="8" s="1"/>
  <c r="Q524" i="8" s="1"/>
  <c r="Q525" i="8" s="1"/>
  <c r="Q526" i="8" s="1"/>
  <c r="Q527" i="8" s="1"/>
  <c r="Q528" i="8" s="1"/>
  <c r="Q529" i="8" s="1"/>
  <c r="Q530" i="8" s="1"/>
  <c r="Q531" i="8" s="1"/>
  <c r="Q532" i="8" s="1"/>
  <c r="Q533" i="8" s="1"/>
  <c r="Q534" i="8" s="1"/>
  <c r="Q535" i="8" s="1"/>
  <c r="Q536" i="8" s="1"/>
  <c r="Q537" i="8" s="1"/>
  <c r="Q538" i="8" s="1"/>
  <c r="Q539" i="8" s="1"/>
  <c r="Q540" i="8" s="1"/>
  <c r="Q541" i="8" s="1"/>
  <c r="Q542" i="8" s="1"/>
  <c r="Q543" i="8" s="1"/>
  <c r="Q544" i="8" s="1"/>
  <c r="Q545" i="8" s="1"/>
  <c r="Q546" i="8" s="1"/>
  <c r="Q547" i="8" s="1"/>
  <c r="Q548" i="8" s="1"/>
  <c r="Q549" i="8" s="1"/>
  <c r="Q550" i="8" s="1"/>
  <c r="Q551" i="8" s="1"/>
  <c r="Q552" i="8" s="1"/>
  <c r="Q553" i="8" s="1"/>
  <c r="Q554" i="8" s="1"/>
  <c r="Q555" i="8" s="1"/>
  <c r="Q556" i="8" s="1"/>
  <c r="Q557" i="8" s="1"/>
  <c r="Q558" i="8" s="1"/>
  <c r="Q559" i="8" s="1"/>
  <c r="Q560" i="8" s="1"/>
  <c r="Q561" i="8" s="1"/>
  <c r="Q562" i="8" s="1"/>
  <c r="Q563" i="8" s="1"/>
  <c r="Q564" i="8" s="1"/>
  <c r="Q565" i="8" s="1"/>
  <c r="Q566" i="8" s="1"/>
  <c r="Q567" i="8" s="1"/>
  <c r="Q568" i="8" s="1"/>
  <c r="Q569" i="8" s="1"/>
  <c r="Q570" i="8" s="1"/>
  <c r="Q571" i="8" s="1"/>
  <c r="Q572" i="8" s="1"/>
  <c r="Q573" i="8" s="1"/>
  <c r="Q574" i="8" s="1"/>
  <c r="Q575" i="8" s="1"/>
  <c r="Q576" i="8" s="1"/>
  <c r="Q577" i="8" s="1"/>
  <c r="Q578" i="8" s="1"/>
  <c r="Q579" i="8" s="1"/>
  <c r="Q580" i="8" s="1"/>
  <c r="Q581" i="8" s="1"/>
  <c r="Q582" i="8" s="1"/>
  <c r="Q583" i="8" s="1"/>
  <c r="Q584" i="8" s="1"/>
  <c r="Q585" i="8" s="1"/>
  <c r="Q586" i="8" s="1"/>
  <c r="Q587" i="8" s="1"/>
  <c r="Q588" i="8" s="1"/>
  <c r="Q589" i="8" s="1"/>
  <c r="Q590" i="8" s="1"/>
  <c r="Q591" i="8" s="1"/>
  <c r="Q592" i="8" s="1"/>
  <c r="Q593" i="8" s="1"/>
  <c r="Q594" i="8" s="1"/>
  <c r="Q595" i="8" s="1"/>
  <c r="Q596" i="8" s="1"/>
  <c r="Q597" i="8" s="1"/>
  <c r="Q598" i="8" s="1"/>
  <c r="Q599" i="8" s="1"/>
  <c r="Q600" i="8" s="1"/>
  <c r="Q601" i="8" s="1"/>
  <c r="Q602" i="8" s="1"/>
  <c r="Q603" i="8" s="1"/>
  <c r="Q604" i="8" s="1"/>
  <c r="Q605" i="8" s="1"/>
  <c r="Q606" i="8" s="1"/>
  <c r="Q607" i="8" s="1"/>
  <c r="Q608" i="8" s="1"/>
  <c r="Q609" i="8" s="1"/>
  <c r="Q610" i="8" s="1"/>
  <c r="Q611" i="8" s="1"/>
  <c r="Q612" i="8" s="1"/>
  <c r="Q613" i="8" s="1"/>
  <c r="Q614" i="8" s="1"/>
  <c r="Q615" i="8" s="1"/>
  <c r="Q616" i="8" s="1"/>
  <c r="Q617" i="8" s="1"/>
  <c r="Q618" i="8" s="1"/>
  <c r="Q619" i="8" s="1"/>
  <c r="Q620" i="8" s="1"/>
  <c r="Q621" i="8" s="1"/>
  <c r="Q622" i="8" s="1"/>
  <c r="Q623" i="8" s="1"/>
  <c r="Q624" i="8" s="1"/>
  <c r="Q625" i="8" s="1"/>
  <c r="Q626" i="8" s="1"/>
  <c r="Q627" i="8" s="1"/>
  <c r="Q628" i="8" s="1"/>
  <c r="Q629" i="8" s="1"/>
  <c r="Q630" i="8" s="1"/>
  <c r="Q631" i="8" s="1"/>
  <c r="Q632" i="8" s="1"/>
  <c r="Q633" i="8" s="1"/>
  <c r="Q634" i="8" s="1"/>
  <c r="Q635" i="8" s="1"/>
  <c r="Q636" i="8" s="1"/>
  <c r="Q637" i="8" s="1"/>
  <c r="Q638" i="8" s="1"/>
  <c r="Q639" i="8" s="1"/>
  <c r="Q640" i="8" s="1"/>
  <c r="Q641" i="8" s="1"/>
  <c r="Q642" i="8" s="1"/>
  <c r="Q643" i="8" s="1"/>
  <c r="Q644" i="8" s="1"/>
  <c r="Q645" i="8" s="1"/>
  <c r="Q646" i="8" s="1"/>
  <c r="Q647" i="8" s="1"/>
  <c r="Q648" i="8" s="1"/>
  <c r="Q649" i="8" s="1"/>
  <c r="Q650" i="8" s="1"/>
  <c r="Q651" i="8" s="1"/>
  <c r="Q652" i="8" s="1"/>
  <c r="Q653" i="8" s="1"/>
  <c r="Q654" i="8" s="1"/>
  <c r="Q655" i="8" s="1"/>
  <c r="Q656" i="8" s="1"/>
  <c r="Q657" i="8" s="1"/>
  <c r="Q658" i="8" s="1"/>
  <c r="Q659" i="8" s="1"/>
  <c r="Q660" i="8" s="1"/>
  <c r="Q661" i="8" s="1"/>
  <c r="Q662" i="8" s="1"/>
  <c r="Q663" i="8" s="1"/>
  <c r="Q664" i="8" s="1"/>
  <c r="Q665" i="8" s="1"/>
  <c r="Q666" i="8" s="1"/>
  <c r="Q667" i="8" s="1"/>
  <c r="Q668" i="8" s="1"/>
  <c r="Q669" i="8" s="1"/>
  <c r="Q670" i="8" s="1"/>
  <c r="Q671" i="8" s="1"/>
  <c r="Q672" i="8" s="1"/>
  <c r="Q673" i="8" s="1"/>
  <c r="Q674" i="8" s="1"/>
  <c r="Q675" i="8" s="1"/>
  <c r="Q676" i="8" s="1"/>
  <c r="Q677" i="8" s="1"/>
  <c r="Q678" i="8" s="1"/>
  <c r="Q679" i="8" s="1"/>
  <c r="Q680" i="8" s="1"/>
  <c r="Q681" i="8" s="1"/>
  <c r="Q682" i="8" s="1"/>
  <c r="Q683" i="8" s="1"/>
  <c r="Q684" i="8" s="1"/>
  <c r="Q685" i="8" s="1"/>
  <c r="Q686" i="8" s="1"/>
  <c r="Q687" i="8" s="1"/>
  <c r="Q688" i="8" s="1"/>
  <c r="Q689" i="8" s="1"/>
  <c r="Q690" i="8" s="1"/>
  <c r="Q691" i="8" s="1"/>
  <c r="Q692" i="8" s="1"/>
  <c r="Q693" i="8" s="1"/>
  <c r="Q694" i="8" s="1"/>
  <c r="Q695" i="8" s="1"/>
  <c r="Q696" i="8" s="1"/>
  <c r="Q697" i="8" s="1"/>
  <c r="Q698" i="8" s="1"/>
  <c r="Q699" i="8" s="1"/>
  <c r="Q700" i="8" s="1"/>
  <c r="Q701" i="8" s="1"/>
  <c r="Q702" i="8" s="1"/>
  <c r="Q703" i="8" s="1"/>
  <c r="Q704" i="8" s="1"/>
  <c r="Q705" i="8" s="1"/>
  <c r="Q706" i="8" s="1"/>
  <c r="Q707" i="8" s="1"/>
  <c r="Q708" i="8" s="1"/>
  <c r="Q709" i="8" s="1"/>
  <c r="Q710" i="8" s="1"/>
  <c r="Q711" i="8" s="1"/>
  <c r="Q712" i="8" s="1"/>
  <c r="Q713" i="8" s="1"/>
  <c r="Q714" i="8" s="1"/>
  <c r="Q715" i="8" s="1"/>
  <c r="Q716" i="8" s="1"/>
  <c r="Q717" i="8" s="1"/>
  <c r="Q718" i="8" s="1"/>
  <c r="Q719" i="8" s="1"/>
  <c r="Q720" i="8" s="1"/>
  <c r="Q721" i="8" s="1"/>
  <c r="Q722" i="8" s="1"/>
  <c r="Q723" i="8" s="1"/>
  <c r="Q724" i="8" s="1"/>
  <c r="Q725" i="8" s="1"/>
  <c r="Q726" i="8" s="1"/>
  <c r="Q727" i="8" s="1"/>
  <c r="Q728" i="8" s="1"/>
  <c r="Q729" i="8" s="1"/>
  <c r="Q730" i="8" s="1"/>
  <c r="Q731" i="8" s="1"/>
  <c r="Q732" i="8" s="1"/>
  <c r="Q733" i="8" s="1"/>
  <c r="Q734" i="8" s="1"/>
  <c r="Q735" i="8" s="1"/>
  <c r="Q736" i="8" s="1"/>
  <c r="Q737" i="8" s="1"/>
  <c r="Q738" i="8" s="1"/>
  <c r="Q739" i="8" s="1"/>
  <c r="Q740" i="8" s="1"/>
  <c r="Q741" i="8" s="1"/>
  <c r="Q742" i="8" s="1"/>
  <c r="Q743" i="8" s="1"/>
  <c r="Q744" i="8" s="1"/>
  <c r="Q745" i="8" s="1"/>
  <c r="Q746" i="8" s="1"/>
  <c r="Q747" i="8" s="1"/>
  <c r="Q748" i="8" s="1"/>
  <c r="Q749" i="8" s="1"/>
  <c r="Q750" i="8" s="1"/>
  <c r="Q751" i="8" s="1"/>
  <c r="Q752" i="8" s="1"/>
  <c r="Q753" i="8" s="1"/>
  <c r="Q754" i="8" s="1"/>
  <c r="Q755" i="8" s="1"/>
  <c r="Q756" i="8" s="1"/>
  <c r="Q757" i="8" s="1"/>
  <c r="Q758" i="8" s="1"/>
  <c r="Q759" i="8" s="1"/>
  <c r="Q760" i="8" s="1"/>
  <c r="Q761" i="8" s="1"/>
  <c r="Q762" i="8" s="1"/>
  <c r="Q763" i="8" s="1"/>
  <c r="Q764" i="8" s="1"/>
  <c r="Q765" i="8" s="1"/>
  <c r="Q766" i="8" s="1"/>
  <c r="Q767" i="8" s="1"/>
  <c r="Q768" i="8" s="1"/>
  <c r="Q769" i="8" s="1"/>
  <c r="Q770" i="8" s="1"/>
  <c r="Q771" i="8" s="1"/>
  <c r="Q772" i="8" s="1"/>
  <c r="Q773" i="8" s="1"/>
  <c r="Q774" i="8" s="1"/>
  <c r="Q775" i="8" s="1"/>
  <c r="Q776" i="8" s="1"/>
  <c r="Q777" i="8" s="1"/>
  <c r="Q778" i="8" s="1"/>
  <c r="Q779" i="8" s="1"/>
  <c r="Q780" i="8" s="1"/>
  <c r="Q781" i="8" s="1"/>
  <c r="Q782" i="8" s="1"/>
  <c r="Q783" i="8" s="1"/>
  <c r="Q784" i="8" s="1"/>
  <c r="Q785" i="8" s="1"/>
  <c r="Q786" i="8" s="1"/>
  <c r="Q787" i="8" s="1"/>
  <c r="Q788" i="8" s="1"/>
  <c r="Q789" i="8" s="1"/>
  <c r="Q790" i="8" s="1"/>
  <c r="Q791" i="8" s="1"/>
  <c r="Q792" i="8" s="1"/>
  <c r="Q793" i="8" s="1"/>
  <c r="Q794" i="8" s="1"/>
  <c r="Q795" i="8" s="1"/>
  <c r="Q796" i="8" s="1"/>
  <c r="Q797" i="8" s="1"/>
  <c r="Q798" i="8" s="1"/>
  <c r="Q799" i="8" s="1"/>
  <c r="Q800" i="8" s="1"/>
  <c r="Q801" i="8" s="1"/>
  <c r="Q802" i="8" s="1"/>
  <c r="Q803" i="8" s="1"/>
  <c r="Q804" i="8" s="1"/>
  <c r="Q805" i="8" s="1"/>
  <c r="Q806" i="8" s="1"/>
  <c r="Q807" i="8" s="1"/>
  <c r="Q808" i="8" s="1"/>
  <c r="Q809" i="8" s="1"/>
  <c r="Q810" i="8" s="1"/>
  <c r="Q811" i="8" s="1"/>
  <c r="Q812" i="8" s="1"/>
  <c r="Q813" i="8" s="1"/>
  <c r="Q814" i="8" s="1"/>
  <c r="Q815" i="8" s="1"/>
  <c r="Q816" i="8" s="1"/>
  <c r="Q817" i="8" s="1"/>
  <c r="Q818" i="8" s="1"/>
  <c r="Q819" i="8" s="1"/>
  <c r="Q820" i="8" s="1"/>
  <c r="Q821" i="8" s="1"/>
  <c r="Q822" i="8" s="1"/>
  <c r="Q823" i="8" s="1"/>
  <c r="Q824" i="8" s="1"/>
  <c r="Q825" i="8" s="1"/>
  <c r="Q826" i="8" s="1"/>
  <c r="Q827" i="8" s="1"/>
  <c r="Q828" i="8" s="1"/>
  <c r="Q829" i="8" s="1"/>
  <c r="Q830" i="8" s="1"/>
  <c r="Q831" i="8" s="1"/>
  <c r="Q832" i="8" s="1"/>
  <c r="Q833" i="8" s="1"/>
  <c r="Q834" i="8" s="1"/>
  <c r="Q835" i="8" s="1"/>
  <c r="Q836" i="8" s="1"/>
  <c r="Q837" i="8" s="1"/>
  <c r="Q838" i="8" s="1"/>
  <c r="Q839" i="8" s="1"/>
  <c r="Q840" i="8" s="1"/>
  <c r="Q841" i="8" s="1"/>
  <c r="Q842" i="8" s="1"/>
  <c r="Q843" i="8" s="1"/>
  <c r="Q844" i="8" s="1"/>
  <c r="Q845" i="8" s="1"/>
  <c r="Q846" i="8" s="1"/>
  <c r="Q847" i="8" s="1"/>
  <c r="Q848" i="8" s="1"/>
  <c r="Q849" i="8" s="1"/>
  <c r="Q850" i="8" s="1"/>
  <c r="Q851" i="8" s="1"/>
  <c r="Q852" i="8" s="1"/>
  <c r="Q853" i="8" s="1"/>
  <c r="Q854" i="8" s="1"/>
  <c r="Q855" i="8" s="1"/>
  <c r="Q856" i="8" s="1"/>
  <c r="Q857" i="8" s="1"/>
  <c r="Q858" i="8" s="1"/>
  <c r="Q859" i="8" s="1"/>
  <c r="Q860" i="8" s="1"/>
  <c r="Q861" i="8" s="1"/>
  <c r="Q862" i="8" s="1"/>
  <c r="Q863" i="8" s="1"/>
  <c r="Q864" i="8" s="1"/>
  <c r="Q865" i="8" s="1"/>
  <c r="Q866" i="8" s="1"/>
  <c r="Q867" i="8" s="1"/>
  <c r="Q868" i="8" s="1"/>
  <c r="Q869" i="8" s="1"/>
  <c r="Q870" i="8" s="1"/>
  <c r="Q871" i="8" s="1"/>
  <c r="Q872" i="8" s="1"/>
  <c r="Q873" i="8" s="1"/>
  <c r="Q874" i="8" s="1"/>
  <c r="Q875" i="8" s="1"/>
  <c r="Q876" i="8" s="1"/>
  <c r="Q877" i="8" s="1"/>
  <c r="Q878" i="8" s="1"/>
  <c r="Q879" i="8" s="1"/>
  <c r="Q880" i="8" s="1"/>
  <c r="Q881" i="8" s="1"/>
  <c r="Q882" i="8" s="1"/>
  <c r="Q883" i="8" s="1"/>
  <c r="Q884" i="8" s="1"/>
  <c r="Q885" i="8" s="1"/>
  <c r="Q886" i="8" s="1"/>
  <c r="Q887" i="8" s="1"/>
  <c r="Q888" i="8" s="1"/>
  <c r="Q889" i="8" s="1"/>
  <c r="Q890" i="8" s="1"/>
  <c r="Q891" i="8" s="1"/>
  <c r="Q892" i="8" s="1"/>
  <c r="Q893" i="8" s="1"/>
  <c r="Q894" i="8" s="1"/>
  <c r="Q895" i="8" s="1"/>
  <c r="Q896" i="8" s="1"/>
  <c r="Q897" i="8" s="1"/>
  <c r="Q898" i="8" s="1"/>
  <c r="Q899" i="8" s="1"/>
  <c r="Q900" i="8" s="1"/>
  <c r="Q901" i="8" s="1"/>
  <c r="Q902" i="8" s="1"/>
  <c r="Q903" i="8" s="1"/>
  <c r="Q904" i="8" s="1"/>
  <c r="Q905" i="8" s="1"/>
  <c r="Q906" i="8" s="1"/>
  <c r="Q907" i="8" s="1"/>
  <c r="Q908" i="8" s="1"/>
  <c r="Q909" i="8" s="1"/>
  <c r="Q910" i="8" s="1"/>
  <c r="Q911" i="8" s="1"/>
  <c r="Q912" i="8" s="1"/>
  <c r="Q913" i="8" s="1"/>
  <c r="Q914" i="8" s="1"/>
  <c r="Q915" i="8" s="1"/>
  <c r="Q916" i="8" s="1"/>
  <c r="Q917" i="8" s="1"/>
  <c r="Q918" i="8" s="1"/>
  <c r="Q919" i="8" s="1"/>
  <c r="Q920" i="8" s="1"/>
  <c r="Q921" i="8" s="1"/>
  <c r="Q922" i="8" s="1"/>
  <c r="Q923" i="8" s="1"/>
  <c r="Q924" i="8" s="1"/>
  <c r="Q925" i="8" s="1"/>
  <c r="Q926" i="8" s="1"/>
  <c r="Q927" i="8" s="1"/>
  <c r="Q928" i="8" s="1"/>
  <c r="Q929" i="8" s="1"/>
  <c r="Q930" i="8" s="1"/>
  <c r="Q931" i="8" s="1"/>
  <c r="Q932" i="8" s="1"/>
  <c r="Q933" i="8" s="1"/>
  <c r="Q934" i="8" s="1"/>
  <c r="Q935" i="8" s="1"/>
  <c r="Q936" i="8" s="1"/>
  <c r="Q937" i="8" s="1"/>
  <c r="Q938" i="8" s="1"/>
  <c r="Q939" i="8" s="1"/>
  <c r="Q940" i="8" s="1"/>
  <c r="Q941" i="8" s="1"/>
  <c r="Q942" i="8" s="1"/>
  <c r="Q943" i="8" s="1"/>
  <c r="Q944" i="8" s="1"/>
  <c r="Q945" i="8" s="1"/>
  <c r="Q946" i="8" s="1"/>
  <c r="Q947" i="8" s="1"/>
  <c r="Q948" i="8" s="1"/>
  <c r="Q949" i="8" s="1"/>
  <c r="Q950" i="8" s="1"/>
  <c r="Q951" i="8" s="1"/>
  <c r="Q952" i="8" s="1"/>
  <c r="Q953" i="8" s="1"/>
  <c r="Q954" i="8" s="1"/>
  <c r="Q955" i="8" s="1"/>
  <c r="Q956" i="8" s="1"/>
  <c r="Q957" i="8" s="1"/>
  <c r="Q958" i="8" s="1"/>
  <c r="Q959" i="8" s="1"/>
  <c r="Q960" i="8" s="1"/>
  <c r="Q961" i="8" s="1"/>
  <c r="Q962" i="8" s="1"/>
  <c r="Q963" i="8" s="1"/>
  <c r="Q964" i="8" s="1"/>
  <c r="Q965" i="8" s="1"/>
  <c r="Q966" i="8" s="1"/>
  <c r="Q967" i="8" s="1"/>
  <c r="Q968" i="8" s="1"/>
  <c r="Q969" i="8" s="1"/>
  <c r="Q970" i="8" s="1"/>
  <c r="Q971" i="8" s="1"/>
  <c r="Q972" i="8" s="1"/>
  <c r="Q973" i="8" s="1"/>
  <c r="Q974" i="8" s="1"/>
  <c r="Q975" i="8" s="1"/>
  <c r="Q976" i="8" s="1"/>
  <c r="Q977" i="8" s="1"/>
  <c r="Q978" i="8" s="1"/>
  <c r="Q979" i="8" s="1"/>
  <c r="Q980" i="8" s="1"/>
  <c r="Q981" i="8" s="1"/>
  <c r="Q982" i="8" s="1"/>
  <c r="Q983" i="8" s="1"/>
  <c r="Q984" i="8" s="1"/>
  <c r="Q985" i="8" s="1"/>
  <c r="Q986" i="8" s="1"/>
  <c r="Q987" i="8" s="1"/>
  <c r="Q988" i="8" s="1"/>
  <c r="Q989" i="8" s="1"/>
  <c r="Q990" i="8" s="1"/>
  <c r="Q991" i="8" s="1"/>
  <c r="Q992" i="8" s="1"/>
  <c r="Q993" i="8" s="1"/>
  <c r="Q994" i="8" s="1"/>
  <c r="Q995" i="8" s="1"/>
  <c r="Q996" i="8" s="1"/>
  <c r="Q997" i="8" s="1"/>
  <c r="Q998" i="8" s="1"/>
  <c r="Q999" i="8" s="1"/>
  <c r="Q1000" i="8" s="1"/>
  <c r="Q1001" i="8" s="1"/>
  <c r="Q1002" i="8" s="1"/>
  <c r="Q1003" i="8" s="1"/>
  <c r="Q1004" i="8" s="1"/>
  <c r="Q1005" i="8" s="1"/>
  <c r="Q1006" i="8" s="1"/>
  <c r="Q1007" i="8" s="1"/>
  <c r="Q1008" i="8" s="1"/>
  <c r="Q1009" i="8" s="1"/>
  <c r="Q1010" i="8" s="1"/>
  <c r="Q1011" i="8" s="1"/>
  <c r="Q1012" i="8" s="1"/>
  <c r="Q1013" i="8" s="1"/>
  <c r="Q1014" i="8" s="1"/>
  <c r="Q1015" i="8" s="1"/>
  <c r="Q1016" i="8" s="1"/>
  <c r="Q1017" i="8" s="1"/>
  <c r="Q1018" i="8" s="1"/>
  <c r="Q1019" i="8" s="1"/>
  <c r="Q1020" i="8" s="1"/>
  <c r="Q1021" i="8" s="1"/>
  <c r="Q1022" i="8" s="1"/>
  <c r="Q1023" i="8" s="1"/>
  <c r="Q1024" i="8" s="1"/>
  <c r="Q1025" i="8" s="1"/>
  <c r="Q1026" i="8" s="1"/>
  <c r="Q1027" i="8" s="1"/>
  <c r="Q1028" i="8" s="1"/>
  <c r="Q1029" i="8" s="1"/>
  <c r="Q1030" i="8" s="1"/>
  <c r="Q1031" i="8" s="1"/>
  <c r="Q1032" i="8" s="1"/>
  <c r="Q1033" i="8" s="1"/>
  <c r="Q1034" i="8" s="1"/>
  <c r="Q1035" i="8" s="1"/>
  <c r="Q1036" i="8" s="1"/>
  <c r="Q1037" i="8" s="1"/>
  <c r="Q1038" i="8" s="1"/>
  <c r="Q1039" i="8" s="1"/>
  <c r="Q1040" i="8" s="1"/>
  <c r="Q1041" i="8" s="1"/>
  <c r="Q1042" i="8" s="1"/>
  <c r="Q1043" i="8" s="1"/>
  <c r="Q1044" i="8" s="1"/>
  <c r="Q1045" i="8" s="1"/>
  <c r="Q1046" i="8" s="1"/>
  <c r="Q1047" i="8" s="1"/>
  <c r="Q1048" i="8" s="1"/>
  <c r="Q1049" i="8" s="1"/>
  <c r="Q1050" i="8" s="1"/>
  <c r="Q1051" i="8" s="1"/>
  <c r="Q1052" i="8" s="1"/>
  <c r="Q1053" i="8" s="1"/>
  <c r="Q1054" i="8" s="1"/>
  <c r="Q1055" i="8" s="1"/>
  <c r="Q1056" i="8" s="1"/>
  <c r="Q1057" i="8" s="1"/>
  <c r="Q1058" i="8" s="1"/>
  <c r="Q1059" i="8" s="1"/>
  <c r="Q1060" i="8" s="1"/>
  <c r="Q1061" i="8" s="1"/>
  <c r="Q1062" i="8" s="1"/>
  <c r="Q1063" i="8" s="1"/>
  <c r="Q1064" i="8" s="1"/>
  <c r="Q1065" i="8" s="1"/>
  <c r="Q1066" i="8" s="1"/>
  <c r="Q1067" i="8" s="1"/>
  <c r="Q1068" i="8" s="1"/>
  <c r="Q1069" i="8" s="1"/>
  <c r="Q1070" i="8" s="1"/>
  <c r="Q1071" i="8" s="1"/>
  <c r="Q1072" i="8" s="1"/>
  <c r="Q1073" i="8" s="1"/>
  <c r="Q1074" i="8" s="1"/>
  <c r="Q1075" i="8" s="1"/>
  <c r="Q1076" i="8" s="1"/>
  <c r="Q1077" i="8" s="1"/>
  <c r="Q1078" i="8" s="1"/>
  <c r="Q1079" i="8" s="1"/>
  <c r="Q1080" i="8" s="1"/>
  <c r="Q1081" i="8" s="1"/>
  <c r="Q1082" i="8" s="1"/>
  <c r="Q1083" i="8" s="1"/>
  <c r="Q1084" i="8" s="1"/>
  <c r="Q1085" i="8" s="1"/>
  <c r="Q1086" i="8" s="1"/>
  <c r="Q1087" i="8" s="1"/>
  <c r="Q1088" i="8" s="1"/>
  <c r="Q1089" i="8" s="1"/>
  <c r="Q1090" i="8" s="1"/>
  <c r="Q1091" i="8" s="1"/>
  <c r="Q1092" i="8" s="1"/>
  <c r="Q1093" i="8" s="1"/>
  <c r="Q1094" i="8" s="1"/>
  <c r="Q1095" i="8" s="1"/>
  <c r="Q1096" i="8" s="1"/>
  <c r="Q1097" i="8" s="1"/>
  <c r="Q1098" i="8" s="1"/>
  <c r="Q1099" i="8" s="1"/>
  <c r="Q1100" i="8" s="1"/>
  <c r="Q1101" i="8" s="1"/>
  <c r="Q1102" i="8" s="1"/>
  <c r="Q1103" i="8" s="1"/>
  <c r="Q1104" i="8" s="1"/>
  <c r="Q1105" i="8" s="1"/>
  <c r="Q1106" i="8" s="1"/>
  <c r="Q1107" i="8" s="1"/>
  <c r="Q1108" i="8" s="1"/>
  <c r="Q1109" i="8" s="1"/>
  <c r="Q1110" i="8" s="1"/>
  <c r="Q1111" i="8" s="1"/>
  <c r="Q1112" i="8" s="1"/>
  <c r="Q1113" i="8" s="1"/>
  <c r="Q1114" i="8" s="1"/>
  <c r="Q1115" i="8" s="1"/>
  <c r="Q1116" i="8" s="1"/>
  <c r="Q1117" i="8" s="1"/>
  <c r="Q1118" i="8" s="1"/>
  <c r="Q1119" i="8" s="1"/>
  <c r="Q1120" i="8" s="1"/>
  <c r="Q1121" i="8" s="1"/>
  <c r="Q1122" i="8" s="1"/>
  <c r="Q1123" i="8" s="1"/>
  <c r="Q1124" i="8" s="1"/>
  <c r="Q1125" i="8" s="1"/>
  <c r="Q1126" i="8" s="1"/>
  <c r="Q1127" i="8" s="1"/>
  <c r="Q1128" i="8" s="1"/>
  <c r="Q1129" i="8" s="1"/>
  <c r="Q1130" i="8" s="1"/>
  <c r="Q1131" i="8" s="1"/>
  <c r="Q1132" i="8" s="1"/>
  <c r="Q1133" i="8" s="1"/>
  <c r="Q1134" i="8" s="1"/>
  <c r="Q1135" i="8" s="1"/>
  <c r="Q1136" i="8" s="1"/>
  <c r="Q1137" i="8" s="1"/>
  <c r="Q1138" i="8" s="1"/>
  <c r="Q1139" i="8" s="1"/>
  <c r="Q1140" i="8" s="1"/>
  <c r="Q1141" i="8" s="1"/>
  <c r="Q1142" i="8" s="1"/>
  <c r="Q1143" i="8" s="1"/>
  <c r="Q1144" i="8" s="1"/>
  <c r="Q1145" i="8" s="1"/>
  <c r="Q1146" i="8" s="1"/>
  <c r="Q1147" i="8" s="1"/>
  <c r="Q1148" i="8" s="1"/>
  <c r="Q1149" i="8" s="1"/>
  <c r="Q1150" i="8" s="1"/>
  <c r="Q1151" i="8" s="1"/>
  <c r="Q1152" i="8" s="1"/>
  <c r="Q1153" i="8" s="1"/>
  <c r="Q1154" i="8" s="1"/>
  <c r="Q1155" i="8" s="1"/>
  <c r="Q1156" i="8" s="1"/>
  <c r="Q1157" i="8" s="1"/>
  <c r="Q1158" i="8" s="1"/>
  <c r="Q1159" i="8" s="1"/>
  <c r="Q1160" i="8" s="1"/>
  <c r="Q1161" i="8" s="1"/>
  <c r="Q1162" i="8" s="1"/>
  <c r="Q1163" i="8" s="1"/>
  <c r="Q1164" i="8" s="1"/>
  <c r="Q1165" i="8" s="1"/>
  <c r="Q1166" i="8" s="1"/>
  <c r="Q1167" i="8" s="1"/>
  <c r="Q1168" i="8" s="1"/>
  <c r="Q1169" i="8" s="1"/>
  <c r="Q1170" i="8" s="1"/>
  <c r="Q1171" i="8" s="1"/>
  <c r="Q1172" i="8" s="1"/>
  <c r="Q1173" i="8" s="1"/>
  <c r="Q1174" i="8" s="1"/>
  <c r="Q1175" i="8" s="1"/>
  <c r="Q1176" i="8" s="1"/>
  <c r="Q1177" i="8" s="1"/>
  <c r="Q1178" i="8" s="1"/>
  <c r="Q1179" i="8" s="1"/>
  <c r="Q1180" i="8" s="1"/>
  <c r="Q1181" i="8" s="1"/>
  <c r="Q1182" i="8" s="1"/>
  <c r="Q1183" i="8" s="1"/>
  <c r="Q1184" i="8" s="1"/>
  <c r="Q1185" i="8" s="1"/>
  <c r="Q1186" i="8" s="1"/>
  <c r="Q1187" i="8" s="1"/>
  <c r="Q1188" i="8" s="1"/>
  <c r="Q1189" i="8" s="1"/>
  <c r="Q1190" i="8" s="1"/>
  <c r="Q1191" i="8" s="1"/>
  <c r="Q1192" i="8" s="1"/>
  <c r="Q1193" i="8" s="1"/>
  <c r="Q1194" i="8" s="1"/>
  <c r="Q1195" i="8" s="1"/>
  <c r="Q1196" i="8" s="1"/>
  <c r="Q1197" i="8" s="1"/>
  <c r="Q1198" i="8" s="1"/>
  <c r="Q1199" i="8" s="1"/>
  <c r="Q1200" i="8" s="1"/>
  <c r="Q1201" i="8" s="1"/>
  <c r="Q1202" i="8" s="1"/>
  <c r="Q1203" i="8" s="1"/>
  <c r="Q1204" i="8" s="1"/>
  <c r="Q1205" i="8" s="1"/>
  <c r="Q1206" i="8" s="1"/>
  <c r="Q1207" i="8" s="1"/>
  <c r="Q1208" i="8" s="1"/>
  <c r="Q1209" i="8" s="1"/>
  <c r="Q1210" i="8" s="1"/>
  <c r="Q1211" i="8" s="1"/>
  <c r="Q1212" i="8" s="1"/>
  <c r="Q1213" i="8" s="1"/>
  <c r="Q1214" i="8" s="1"/>
  <c r="Q1215" i="8" s="1"/>
  <c r="Q1216" i="8" s="1"/>
  <c r="Q1217" i="8" s="1"/>
  <c r="Q1218" i="8" s="1"/>
  <c r="Q1219" i="8" s="1"/>
  <c r="Q1220" i="8" s="1"/>
  <c r="Q1221" i="8" s="1"/>
  <c r="Q1222" i="8" s="1"/>
  <c r="Q1223" i="8" s="1"/>
  <c r="Q1224" i="8" s="1"/>
  <c r="Q1225" i="8" s="1"/>
  <c r="Q1226" i="8" s="1"/>
  <c r="Q1227" i="8" s="1"/>
  <c r="Q1228" i="8" s="1"/>
  <c r="Q1229" i="8" s="1"/>
  <c r="Q1230" i="8" s="1"/>
  <c r="Q1231" i="8" s="1"/>
  <c r="Q1232" i="8" s="1"/>
  <c r="Q1233" i="8" s="1"/>
  <c r="Q1234" i="8" s="1"/>
  <c r="Q1235" i="8" s="1"/>
  <c r="Q1236" i="8" s="1"/>
  <c r="Q1237" i="8" s="1"/>
  <c r="Q1238" i="8" s="1"/>
  <c r="Q1239" i="8" s="1"/>
  <c r="Q1240" i="8" s="1"/>
  <c r="Q1241" i="8" s="1"/>
  <c r="Q1242" i="8" s="1"/>
  <c r="Q1243" i="8" s="1"/>
  <c r="Q1244" i="8" s="1"/>
  <c r="Q1245" i="8" s="1"/>
  <c r="Q1246" i="8" s="1"/>
  <c r="Q1247" i="8" s="1"/>
  <c r="Q1248" i="8" s="1"/>
  <c r="Q1249" i="8" s="1"/>
  <c r="Q1250" i="8" s="1"/>
  <c r="Q1251" i="8" s="1"/>
  <c r="Q1252" i="8" s="1"/>
  <c r="Q1253" i="8" s="1"/>
  <c r="Q1254" i="8" s="1"/>
  <c r="Q1255" i="8" s="1"/>
  <c r="Q1256" i="8" s="1"/>
  <c r="Q1257" i="8" s="1"/>
  <c r="Q1258" i="8" s="1"/>
  <c r="Q1259" i="8" s="1"/>
  <c r="Q1260" i="8" s="1"/>
  <c r="Q1261" i="8" s="1"/>
  <c r="Q1262" i="8" s="1"/>
  <c r="Q1263" i="8" s="1"/>
  <c r="Q1264" i="8" s="1"/>
  <c r="Q1265" i="8" s="1"/>
  <c r="Q1266" i="8" s="1"/>
  <c r="Q1267" i="8" s="1"/>
  <c r="Q1268" i="8" s="1"/>
  <c r="Q1269" i="8" s="1"/>
  <c r="Q1270" i="8" s="1"/>
  <c r="Q1271" i="8" s="1"/>
  <c r="Q1272" i="8" s="1"/>
  <c r="Q1273" i="8" s="1"/>
  <c r="Q1274" i="8" s="1"/>
  <c r="Q1275" i="8" s="1"/>
  <c r="Q1276" i="8" s="1"/>
  <c r="Q1277" i="8" s="1"/>
  <c r="Q1278" i="8" s="1"/>
  <c r="Q1279" i="8" s="1"/>
  <c r="Q1280" i="8" s="1"/>
  <c r="Q1281" i="8" s="1"/>
  <c r="Q1282" i="8" s="1"/>
  <c r="Q1283" i="8" s="1"/>
  <c r="Q1284" i="8" s="1"/>
  <c r="Q1285" i="8" s="1"/>
  <c r="Q1286" i="8" s="1"/>
  <c r="Q1287" i="8" s="1"/>
  <c r="Q1288" i="8" s="1"/>
  <c r="Q1289" i="8" s="1"/>
  <c r="Q1290" i="8" s="1"/>
  <c r="Q1291" i="8" s="1"/>
  <c r="Q1292" i="8" s="1"/>
  <c r="Q1293" i="8" s="1"/>
  <c r="Q1294" i="8" s="1"/>
  <c r="Q1295" i="8" s="1"/>
  <c r="Q1296" i="8" s="1"/>
  <c r="Q1297" i="8" s="1"/>
  <c r="Q1298" i="8" s="1"/>
  <c r="Q1299" i="8" s="1"/>
  <c r="Q1300" i="8" s="1"/>
  <c r="Q1301" i="8" s="1"/>
  <c r="Q1302" i="8" s="1"/>
  <c r="Q1303" i="8" s="1"/>
  <c r="Q1304" i="8" s="1"/>
  <c r="Q1305" i="8" s="1"/>
  <c r="Q1306" i="8" s="1"/>
  <c r="Q1307" i="8" s="1"/>
  <c r="Q1308" i="8" s="1"/>
  <c r="Q1309" i="8" s="1"/>
  <c r="Q1310" i="8" s="1"/>
  <c r="Q1311" i="8" s="1"/>
  <c r="Q1312" i="8" s="1"/>
  <c r="Q1313" i="8" s="1"/>
  <c r="Q1314" i="8" s="1"/>
  <c r="Q1315" i="8" s="1"/>
  <c r="Q1316" i="8" s="1"/>
  <c r="Q1317" i="8" s="1"/>
  <c r="Q1318" i="8" s="1"/>
  <c r="Q1319" i="8" s="1"/>
  <c r="Q1320" i="8" s="1"/>
  <c r="Q1321" i="8" s="1"/>
  <c r="Q1322" i="8" s="1"/>
  <c r="Q1323" i="8" s="1"/>
  <c r="Q1324" i="8" s="1"/>
  <c r="Q1325" i="8" s="1"/>
  <c r="Q1326" i="8" s="1"/>
  <c r="Q1327" i="8" s="1"/>
  <c r="Q1328" i="8" s="1"/>
  <c r="Q1329" i="8" s="1"/>
  <c r="Q1330" i="8" s="1"/>
  <c r="Q1331" i="8" s="1"/>
  <c r="Q1332" i="8" s="1"/>
  <c r="Q1333" i="8" s="1"/>
  <c r="Q1334" i="8" s="1"/>
  <c r="Q1335" i="8" s="1"/>
  <c r="Q1336" i="8" s="1"/>
  <c r="Q1337" i="8" s="1"/>
  <c r="Q1338" i="8" s="1"/>
  <c r="Q1339" i="8" s="1"/>
  <c r="Q1340" i="8" s="1"/>
  <c r="Q1341" i="8" s="1"/>
  <c r="Q1342" i="8" s="1"/>
  <c r="Q1343" i="8" s="1"/>
  <c r="Q1344" i="8" s="1"/>
  <c r="Q1345" i="8" s="1"/>
  <c r="Q1346" i="8" s="1"/>
  <c r="Q1347" i="8" s="1"/>
  <c r="Q1348" i="8" s="1"/>
  <c r="Q1349" i="8" s="1"/>
  <c r="Q1350" i="8" s="1"/>
  <c r="Q1351" i="8" s="1"/>
  <c r="Q1352" i="8" s="1"/>
  <c r="Q1353" i="8" s="1"/>
  <c r="Q1354" i="8" s="1"/>
  <c r="Q1355" i="8" s="1"/>
  <c r="Q1356" i="8" s="1"/>
  <c r="Q1357" i="8" s="1"/>
  <c r="Q1358" i="8" s="1"/>
  <c r="Q1359" i="8" s="1"/>
  <c r="Q1360" i="8" s="1"/>
  <c r="Q1361" i="8" s="1"/>
  <c r="Q1362" i="8" s="1"/>
  <c r="Q1363" i="8" s="1"/>
  <c r="Q1364" i="8" s="1"/>
  <c r="Q1365" i="8" s="1"/>
  <c r="Q1366" i="8" s="1"/>
  <c r="Q1367" i="8" s="1"/>
  <c r="Q1368" i="8" s="1"/>
  <c r="Q1369" i="8" s="1"/>
  <c r="Q1370" i="8" s="1"/>
  <c r="Q1371" i="8" s="1"/>
  <c r="Q1372" i="8" s="1"/>
  <c r="Q1373" i="8" s="1"/>
  <c r="Q1374" i="8" s="1"/>
  <c r="Q1375" i="8" s="1"/>
  <c r="Q1376" i="8" s="1"/>
  <c r="Q1377" i="8" s="1"/>
  <c r="Q1378" i="8" s="1"/>
  <c r="Q1379" i="8" s="1"/>
  <c r="Q1380" i="8" s="1"/>
  <c r="Q1381" i="8" s="1"/>
  <c r="Q1382" i="8" s="1"/>
  <c r="Q1383" i="8" s="1"/>
  <c r="Q1384" i="8" s="1"/>
  <c r="Q1385" i="8" s="1"/>
  <c r="Q1386" i="8" s="1"/>
  <c r="Q1387" i="8" s="1"/>
  <c r="Q1388" i="8" s="1"/>
  <c r="Q1389" i="8" s="1"/>
  <c r="Q1390" i="8" s="1"/>
  <c r="Q1391" i="8" s="1"/>
  <c r="Q1392" i="8" s="1"/>
  <c r="Q1393" i="8" s="1"/>
  <c r="Q1394" i="8" s="1"/>
  <c r="Q1395" i="8" s="1"/>
  <c r="Q1396" i="8" s="1"/>
  <c r="Q1397" i="8" s="1"/>
  <c r="Q1398" i="8" s="1"/>
  <c r="Q1399" i="8" s="1"/>
  <c r="Q1400" i="8" s="1"/>
  <c r="Q1401" i="8" s="1"/>
  <c r="Q1402" i="8" s="1"/>
  <c r="Q1403" i="8" s="1"/>
  <c r="Q1404" i="8" s="1"/>
  <c r="Q1405" i="8" s="1"/>
  <c r="Q1406" i="8" s="1"/>
  <c r="Q1407" i="8" s="1"/>
  <c r="Q1408" i="8" s="1"/>
  <c r="Q1409" i="8" s="1"/>
  <c r="Q1410" i="8" s="1"/>
  <c r="Q1411" i="8" s="1"/>
  <c r="Q1412" i="8" s="1"/>
  <c r="Q1413" i="8" s="1"/>
  <c r="Q1414" i="8" s="1"/>
  <c r="Q1415" i="8" s="1"/>
  <c r="Q1416" i="8" s="1"/>
  <c r="Q1417" i="8" s="1"/>
  <c r="Q1418" i="8" s="1"/>
  <c r="Q1419" i="8" s="1"/>
  <c r="Q1420" i="8" s="1"/>
  <c r="Q1421" i="8" s="1"/>
  <c r="Q1422" i="8" s="1"/>
  <c r="Q1423" i="8" s="1"/>
  <c r="Q1424" i="8" s="1"/>
  <c r="Q1425" i="8" s="1"/>
  <c r="Q1426" i="8" s="1"/>
  <c r="Q1427" i="8" s="1"/>
  <c r="Q1428" i="8" s="1"/>
  <c r="Q1429" i="8" s="1"/>
  <c r="Q1430" i="8" s="1"/>
  <c r="Q1431" i="8" s="1"/>
  <c r="Q1432" i="8" s="1"/>
  <c r="Q1433" i="8" s="1"/>
  <c r="Q1434" i="8" s="1"/>
  <c r="Q1435" i="8" s="1"/>
  <c r="Q1436" i="8" s="1"/>
  <c r="Q1437" i="8" s="1"/>
  <c r="Q1438" i="8" s="1"/>
  <c r="Q1439" i="8" s="1"/>
  <c r="Q1440" i="8" s="1"/>
  <c r="Q1441" i="8" s="1"/>
  <c r="Q1442" i="8" s="1"/>
  <c r="Q1443" i="8" s="1"/>
  <c r="Q1444" i="8" s="1"/>
  <c r="Q1445" i="8" s="1"/>
  <c r="Q1446" i="8" s="1"/>
  <c r="Q1447" i="8" s="1"/>
  <c r="Q1448" i="8" s="1"/>
  <c r="Q1449" i="8" s="1"/>
  <c r="Q1450" i="8" s="1"/>
  <c r="Q1451" i="8" s="1"/>
  <c r="Q1452" i="8" s="1"/>
  <c r="Q1453" i="8" s="1"/>
  <c r="Q1454" i="8" s="1"/>
  <c r="Q1455" i="8" s="1"/>
  <c r="Q1456" i="8" s="1"/>
  <c r="Q1457" i="8" s="1"/>
  <c r="Q1458" i="8" s="1"/>
  <c r="Q1459" i="8" s="1"/>
  <c r="Q1460" i="8" s="1"/>
  <c r="Q1461" i="8" s="1"/>
  <c r="Q1462" i="8" s="1"/>
  <c r="Q1463" i="8" s="1"/>
  <c r="Q1464" i="8" s="1"/>
  <c r="Q1465" i="8" s="1"/>
  <c r="Q1466" i="8" s="1"/>
  <c r="Q1467" i="8" s="1"/>
  <c r="Q1468" i="8" s="1"/>
  <c r="Q1469" i="8" s="1"/>
  <c r="Q1470" i="8" s="1"/>
  <c r="Q1471" i="8" s="1"/>
  <c r="Q1472" i="8" s="1"/>
  <c r="Q1473" i="8" s="1"/>
  <c r="Q1474" i="8" s="1"/>
  <c r="Q1475" i="8" s="1"/>
  <c r="Q1476" i="8" s="1"/>
  <c r="Q1477" i="8" s="1"/>
  <c r="Q1478" i="8" s="1"/>
  <c r="Q1479" i="8" s="1"/>
  <c r="Q1480" i="8" s="1"/>
  <c r="Q1481" i="8" s="1"/>
  <c r="Q1482" i="8" s="1"/>
  <c r="Q1483" i="8" s="1"/>
  <c r="Q1484" i="8" s="1"/>
  <c r="Q1485" i="8" s="1"/>
  <c r="Q1486" i="8" s="1"/>
  <c r="Q1487" i="8" s="1"/>
  <c r="Q1488" i="8" s="1"/>
  <c r="Q1489" i="8" s="1"/>
  <c r="Q1490" i="8" s="1"/>
  <c r="Q1491" i="8" s="1"/>
  <c r="Q1492" i="8" s="1"/>
  <c r="Q1493" i="8" s="1"/>
  <c r="Q1494" i="8" s="1"/>
  <c r="Q1495" i="8" s="1"/>
  <c r="Q1496" i="8" s="1"/>
  <c r="Q1497" i="8" s="1"/>
  <c r="Q1498" i="8" s="1"/>
  <c r="Q1499" i="8" s="1"/>
  <c r="Q1500" i="8" s="1"/>
  <c r="Q1501" i="8" s="1"/>
  <c r="Q1502" i="8" s="1"/>
  <c r="Q1503" i="8" s="1"/>
  <c r="Q1504" i="8" s="1"/>
  <c r="Q1505" i="8" s="1"/>
  <c r="Q1506" i="8" s="1"/>
  <c r="Q1507" i="8" s="1"/>
  <c r="Q1508" i="8" s="1"/>
  <c r="Q1509" i="8" s="1"/>
  <c r="Q1510" i="8" s="1"/>
  <c r="Q1511" i="8" s="1"/>
  <c r="Q1512" i="8" s="1"/>
  <c r="Q1513" i="8" s="1"/>
  <c r="Q1514" i="8" s="1"/>
  <c r="Q1515" i="8" s="1"/>
  <c r="Q1516" i="8" s="1"/>
  <c r="Q1517" i="8" s="1"/>
  <c r="Q1518" i="8" s="1"/>
  <c r="Q1519" i="8" s="1"/>
  <c r="Q1520" i="8" s="1"/>
  <c r="Q1521" i="8" s="1"/>
  <c r="Q1522" i="8" s="1"/>
  <c r="Q1523" i="8" s="1"/>
  <c r="Q1524" i="8" s="1"/>
  <c r="Q1525" i="8" s="1"/>
  <c r="Q1526" i="8" s="1"/>
  <c r="Q1527" i="8" s="1"/>
  <c r="Q1528" i="8" s="1"/>
  <c r="Q1529" i="8" s="1"/>
  <c r="Q1530" i="8" s="1"/>
  <c r="Q1531" i="8" s="1"/>
  <c r="Q1532" i="8" s="1"/>
  <c r="Q1533" i="8" s="1"/>
  <c r="Q1534" i="8" s="1"/>
  <c r="Q1535" i="8" s="1"/>
  <c r="Q1536" i="8" s="1"/>
  <c r="Q1537" i="8" s="1"/>
  <c r="Q1538" i="8" s="1"/>
  <c r="Q1539" i="8" s="1"/>
  <c r="Q1540" i="8" s="1"/>
  <c r="Q1541" i="8" s="1"/>
  <c r="Q1542" i="8" s="1"/>
  <c r="Q1543" i="8" s="1"/>
  <c r="Q1544" i="8" s="1"/>
  <c r="Q1545" i="8" s="1"/>
  <c r="Q1546" i="8" s="1"/>
  <c r="Q1547" i="8" s="1"/>
  <c r="Q1548" i="8" s="1"/>
  <c r="Q1549" i="8" s="1"/>
  <c r="Q1550" i="8" s="1"/>
  <c r="Q1551" i="8" s="1"/>
  <c r="Q1552" i="8" s="1"/>
  <c r="Q1553" i="8" s="1"/>
  <c r="Q1554" i="8" s="1"/>
  <c r="Q1555" i="8" s="1"/>
  <c r="Q1556" i="8" s="1"/>
  <c r="Q1557" i="8" s="1"/>
  <c r="Q1558" i="8" s="1"/>
  <c r="Q1559" i="8" s="1"/>
  <c r="Q1560" i="8" s="1"/>
  <c r="Q1561" i="8" s="1"/>
  <c r="Q1562" i="8" s="1"/>
  <c r="Q1563" i="8" s="1"/>
  <c r="Q1564" i="8" s="1"/>
  <c r="Q1565" i="8" s="1"/>
  <c r="Q1566" i="8" s="1"/>
  <c r="Q1567" i="8" s="1"/>
  <c r="Q1568" i="8" s="1"/>
  <c r="Q1569" i="8" s="1"/>
  <c r="Q1570" i="8" s="1"/>
  <c r="Q1571" i="8" s="1"/>
  <c r="Q1572" i="8" s="1"/>
  <c r="Q1573" i="8" s="1"/>
  <c r="Q1574" i="8" s="1"/>
  <c r="Q1575" i="8" s="1"/>
  <c r="Q1576" i="8" s="1"/>
  <c r="Q1577" i="8" s="1"/>
  <c r="Q1578" i="8" s="1"/>
  <c r="Q1579" i="8" s="1"/>
  <c r="Q1580" i="8" s="1"/>
  <c r="Q1581" i="8" s="1"/>
  <c r="Q1582" i="8" s="1"/>
  <c r="Q1583" i="8" s="1"/>
  <c r="Q1584" i="8" s="1"/>
  <c r="Q1585" i="8" s="1"/>
  <c r="Q1586" i="8" s="1"/>
  <c r="Q1587" i="8" s="1"/>
  <c r="Q1588" i="8" s="1"/>
  <c r="Q1589" i="8" s="1"/>
  <c r="Q1590" i="8" s="1"/>
  <c r="Q1591" i="8" s="1"/>
  <c r="Q1592" i="8" s="1"/>
  <c r="Q1593" i="8" s="1"/>
  <c r="Q1594" i="8" s="1"/>
  <c r="Q1595" i="8" s="1"/>
  <c r="Q1596" i="8" s="1"/>
  <c r="Q1597" i="8" s="1"/>
  <c r="Q1598" i="8" s="1"/>
  <c r="Q1599" i="8" s="1"/>
  <c r="Q1600" i="8" s="1"/>
  <c r="Q1601" i="8" s="1"/>
  <c r="Q1602" i="8" s="1"/>
  <c r="Q1603" i="8" s="1"/>
  <c r="Q1604" i="8" s="1"/>
  <c r="Q1605" i="8" s="1"/>
  <c r="Q1606" i="8" s="1"/>
  <c r="Q1607" i="8" s="1"/>
  <c r="Q1608" i="8" s="1"/>
  <c r="Q1609" i="8" s="1"/>
  <c r="Q1610" i="8" s="1"/>
  <c r="Q1611" i="8" s="1"/>
  <c r="Q1612" i="8" s="1"/>
  <c r="Q1613" i="8" s="1"/>
  <c r="Q1614" i="8" s="1"/>
  <c r="Q1615" i="8" s="1"/>
  <c r="Q1616" i="8" s="1"/>
  <c r="Q1617" i="8" s="1"/>
  <c r="Q1618" i="8" s="1"/>
  <c r="Q1619" i="8" s="1"/>
  <c r="Q1620" i="8" s="1"/>
  <c r="Q1621" i="8" s="1"/>
  <c r="Q1622" i="8" s="1"/>
  <c r="Q1623" i="8" s="1"/>
  <c r="Q1624" i="8" s="1"/>
  <c r="Q1625" i="8" s="1"/>
  <c r="Q1626" i="8" s="1"/>
  <c r="Q1627" i="8" s="1"/>
  <c r="Q1628" i="8" s="1"/>
  <c r="Q1629" i="8" s="1"/>
  <c r="Q1630" i="8" s="1"/>
  <c r="Q1631" i="8" s="1"/>
  <c r="Q1632" i="8" s="1"/>
  <c r="Q1633" i="8" s="1"/>
  <c r="Q1634" i="8" s="1"/>
  <c r="Q1635" i="8" s="1"/>
  <c r="Q1636" i="8" s="1"/>
  <c r="Q1637" i="8" s="1"/>
  <c r="Q1638" i="8" s="1"/>
  <c r="Q1639" i="8" s="1"/>
  <c r="Q1640" i="8" s="1"/>
  <c r="Q1641" i="8" s="1"/>
  <c r="Q1642" i="8" s="1"/>
  <c r="Q1643" i="8" s="1"/>
  <c r="Q1644" i="8" s="1"/>
  <c r="Q1645" i="8" s="1"/>
  <c r="Q1646" i="8" s="1"/>
  <c r="Q1647" i="8" s="1"/>
  <c r="Q1648" i="8" s="1"/>
  <c r="Q1649" i="8" s="1"/>
  <c r="Q1650" i="8" s="1"/>
  <c r="Q1651" i="8" s="1"/>
  <c r="Q1652" i="8" s="1"/>
  <c r="Q1653" i="8" s="1"/>
  <c r="Q1654" i="8" s="1"/>
  <c r="Q1655" i="8" s="1"/>
  <c r="Q1656" i="8" s="1"/>
  <c r="Q1657" i="8" s="1"/>
  <c r="Q1658" i="8" s="1"/>
  <c r="Q1659" i="8" s="1"/>
  <c r="Q1660" i="8" s="1"/>
  <c r="Q1661" i="8" s="1"/>
  <c r="Q1662" i="8" s="1"/>
  <c r="Q1663" i="8" s="1"/>
  <c r="Q1664" i="8" s="1"/>
  <c r="Q1665" i="8" s="1"/>
  <c r="Q1666" i="8" s="1"/>
  <c r="Q1667" i="8" s="1"/>
  <c r="Q1668" i="8" s="1"/>
  <c r="Q1669" i="8" s="1"/>
  <c r="Q1670" i="8" s="1"/>
  <c r="Q1671" i="8" s="1"/>
  <c r="Q1672" i="8" s="1"/>
  <c r="Q1673" i="8" s="1"/>
  <c r="Q1674" i="8" s="1"/>
  <c r="Q1675" i="8" s="1"/>
  <c r="Q1676" i="8" s="1"/>
  <c r="Q1677" i="8" s="1"/>
  <c r="Q1678" i="8" s="1"/>
  <c r="Q1679" i="8" s="1"/>
  <c r="Q1680" i="8" s="1"/>
  <c r="Q1681" i="8" s="1"/>
  <c r="Q1682" i="8" s="1"/>
  <c r="Q1683" i="8" s="1"/>
  <c r="Q1684" i="8" s="1"/>
  <c r="Q1685" i="8" s="1"/>
  <c r="Q1686" i="8" s="1"/>
  <c r="Q1687" i="8" s="1"/>
  <c r="Q1688" i="8" s="1"/>
  <c r="Q1689" i="8" s="1"/>
  <c r="Q1690" i="8" s="1"/>
  <c r="Q1691" i="8" s="1"/>
  <c r="Q1692" i="8" s="1"/>
  <c r="Q1693" i="8" s="1"/>
  <c r="Q1694" i="8" s="1"/>
  <c r="Q1695" i="8" s="1"/>
  <c r="Q1696" i="8" s="1"/>
  <c r="Q1697" i="8" s="1"/>
  <c r="Q1698" i="8" s="1"/>
  <c r="Q1699" i="8" s="1"/>
  <c r="Q1700" i="8" s="1"/>
  <c r="Q1701" i="8" s="1"/>
  <c r="Q1702" i="8" s="1"/>
  <c r="Q1703" i="8" s="1"/>
  <c r="Q1704" i="8" s="1"/>
  <c r="Q1705" i="8" s="1"/>
  <c r="Q1706" i="8" s="1"/>
  <c r="Q1707" i="8" s="1"/>
  <c r="Q1708" i="8" s="1"/>
  <c r="Q1709" i="8" s="1"/>
  <c r="Q1710" i="8" s="1"/>
  <c r="Q1711" i="8" s="1"/>
  <c r="Q1712" i="8" s="1"/>
  <c r="Q1713" i="8" s="1"/>
  <c r="Q1714" i="8" s="1"/>
  <c r="Q1715" i="8" s="1"/>
  <c r="Q1716" i="8" s="1"/>
  <c r="Q1717" i="8" s="1"/>
  <c r="Q1718" i="8" s="1"/>
  <c r="Q1719" i="8" s="1"/>
  <c r="Q1720" i="8" s="1"/>
  <c r="Q1721" i="8" s="1"/>
  <c r="Q1722" i="8" s="1"/>
  <c r="Q1723" i="8" s="1"/>
  <c r="Q1724" i="8" s="1"/>
  <c r="Q1725" i="8" s="1"/>
  <c r="Q1726" i="8" s="1"/>
  <c r="Q1727" i="8" s="1"/>
  <c r="Q1728" i="8" s="1"/>
  <c r="Q1729" i="8" s="1"/>
  <c r="Q1730" i="8" s="1"/>
  <c r="Q1731" i="8" s="1"/>
  <c r="Q1732" i="8" s="1"/>
  <c r="Q1733" i="8" s="1"/>
  <c r="Q1734" i="8" s="1"/>
  <c r="Q1735" i="8" s="1"/>
  <c r="Q1736" i="8" s="1"/>
  <c r="Q1737" i="8" s="1"/>
  <c r="Q1738" i="8" s="1"/>
  <c r="Q1739" i="8" s="1"/>
  <c r="Q1740" i="8" s="1"/>
  <c r="Q1741" i="8" s="1"/>
  <c r="Q1742" i="8" s="1"/>
  <c r="Q1743" i="8" s="1"/>
  <c r="Q1744" i="8" s="1"/>
  <c r="Q1745" i="8" s="1"/>
  <c r="Q1746" i="8" s="1"/>
  <c r="Q1747" i="8" s="1"/>
  <c r="Q1748" i="8" s="1"/>
  <c r="Q1749" i="8" s="1"/>
  <c r="Q1750" i="8" s="1"/>
  <c r="Q1751" i="8" s="1"/>
  <c r="Q1752" i="8" s="1"/>
  <c r="Q1753" i="8" s="1"/>
  <c r="Q1754" i="8" s="1"/>
  <c r="Q1755" i="8" s="1"/>
  <c r="Q1756" i="8" s="1"/>
  <c r="Q1757" i="8" s="1"/>
  <c r="Q1758" i="8" s="1"/>
  <c r="Q1759" i="8" s="1"/>
  <c r="Q1760" i="8" s="1"/>
  <c r="Q1761" i="8" s="1"/>
  <c r="Q1762" i="8" s="1"/>
  <c r="Q1763" i="8" s="1"/>
  <c r="Q1764" i="8" s="1"/>
  <c r="Q1765" i="8" s="1"/>
  <c r="Q1766" i="8" s="1"/>
  <c r="Q1767" i="8" s="1"/>
  <c r="Q1768" i="8" s="1"/>
  <c r="Q1769" i="8" s="1"/>
  <c r="Q1770" i="8" s="1"/>
  <c r="Q1771" i="8" s="1"/>
  <c r="Q1772" i="8" s="1"/>
  <c r="Q1773" i="8" s="1"/>
  <c r="Q1774" i="8" s="1"/>
  <c r="Q1775" i="8" s="1"/>
  <c r="Q1776" i="8" s="1"/>
  <c r="Q1777" i="8" s="1"/>
  <c r="Q1778" i="8" s="1"/>
  <c r="Q1779" i="8" s="1"/>
  <c r="Q1780" i="8" s="1"/>
  <c r="Q1781" i="8" s="1"/>
  <c r="Q1782" i="8" s="1"/>
  <c r="Q1783" i="8" s="1"/>
  <c r="Q1784" i="8" s="1"/>
  <c r="Q1785" i="8" s="1"/>
  <c r="Q1786" i="8" s="1"/>
  <c r="Q1787" i="8" s="1"/>
  <c r="Q1788" i="8" s="1"/>
  <c r="Q1789" i="8" s="1"/>
  <c r="Q1790" i="8" s="1"/>
  <c r="Q1791" i="8" s="1"/>
  <c r="Q1792" i="8" s="1"/>
  <c r="Q1793" i="8" s="1"/>
  <c r="Q1794" i="8" s="1"/>
  <c r="Q1795" i="8" s="1"/>
  <c r="Q1796" i="8" s="1"/>
  <c r="Q1797" i="8" s="1"/>
  <c r="Q1798" i="8" s="1"/>
  <c r="Q1799" i="8" s="1"/>
  <c r="Q1800" i="8" s="1"/>
  <c r="Q1801" i="8" s="1"/>
  <c r="Q1802" i="8" s="1"/>
  <c r="Q1803" i="8" s="1"/>
  <c r="Q1804" i="8" s="1"/>
  <c r="Q1805" i="8" s="1"/>
  <c r="Q1806" i="8" s="1"/>
  <c r="Q1807" i="8" s="1"/>
  <c r="Q1808" i="8" s="1"/>
  <c r="Q1809" i="8" s="1"/>
  <c r="Q1810" i="8" s="1"/>
  <c r="Q1811" i="8" s="1"/>
  <c r="Q1812" i="8" s="1"/>
  <c r="Q1813" i="8" s="1"/>
  <c r="Q1814" i="8" s="1"/>
  <c r="Q1815" i="8" s="1"/>
  <c r="Q1816" i="8" s="1"/>
  <c r="Q1817" i="8" s="1"/>
  <c r="Q1818" i="8" s="1"/>
  <c r="Q1819" i="8" s="1"/>
  <c r="Q1820" i="8" s="1"/>
  <c r="Q1821" i="8" s="1"/>
  <c r="Q1822" i="8" s="1"/>
  <c r="Q1823" i="8" s="1"/>
  <c r="Q1824" i="8" s="1"/>
  <c r="Q1825" i="8" s="1"/>
  <c r="Q1826" i="8" s="1"/>
  <c r="Q1827" i="8" s="1"/>
  <c r="Q1828" i="8" s="1"/>
  <c r="Q1829" i="8" s="1"/>
  <c r="Q1830" i="8" s="1"/>
  <c r="Q1831" i="8" s="1"/>
  <c r="Q1832" i="8" s="1"/>
  <c r="Q1833" i="8" s="1"/>
  <c r="Q1834" i="8" s="1"/>
  <c r="Q1835" i="8" s="1"/>
  <c r="Q1836" i="8" s="1"/>
  <c r="Q1837" i="8" s="1"/>
  <c r="Q1838" i="8" s="1"/>
  <c r="Q1839" i="8" s="1"/>
  <c r="Q1840" i="8" s="1"/>
  <c r="Q1841" i="8" s="1"/>
  <c r="Q1842" i="8" s="1"/>
  <c r="Q1843" i="8" s="1"/>
  <c r="Q1844" i="8" s="1"/>
  <c r="Q1845" i="8" s="1"/>
  <c r="Q1846" i="8" s="1"/>
  <c r="Q1847" i="8" s="1"/>
  <c r="Q1848" i="8" s="1"/>
  <c r="Q1849" i="8" s="1"/>
  <c r="Q1850" i="8" s="1"/>
  <c r="Q1851" i="8" s="1"/>
  <c r="Q1852" i="8" s="1"/>
  <c r="Q1853" i="8" s="1"/>
  <c r="Q1854" i="8" s="1"/>
  <c r="Q1855" i="8" s="1"/>
  <c r="Q1856" i="8" s="1"/>
  <c r="Q1857" i="8" s="1"/>
  <c r="Q1858" i="8" s="1"/>
  <c r="Q1859" i="8" s="1"/>
  <c r="Q1860" i="8" s="1"/>
  <c r="Q1861" i="8" s="1"/>
  <c r="Q1862" i="8" s="1"/>
  <c r="Q1863" i="8" s="1"/>
  <c r="Q1864" i="8" s="1"/>
  <c r="Q1865" i="8" s="1"/>
  <c r="Q1866" i="8" s="1"/>
  <c r="Q1867" i="8" s="1"/>
  <c r="Q1868" i="8" s="1"/>
  <c r="Q1869" i="8" s="1"/>
  <c r="Q1870" i="8" s="1"/>
  <c r="Q1871" i="8" s="1"/>
  <c r="Q1872" i="8" s="1"/>
  <c r="Q1873" i="8" s="1"/>
  <c r="Q1874" i="8" s="1"/>
  <c r="Q1875" i="8" s="1"/>
  <c r="Q1876" i="8" s="1"/>
  <c r="Q1877" i="8" s="1"/>
  <c r="Q1878" i="8" s="1"/>
  <c r="Q1879" i="8" s="1"/>
  <c r="Q1880" i="8" s="1"/>
  <c r="Q1881" i="8" s="1"/>
  <c r="Q1882" i="8" s="1"/>
  <c r="Q1883" i="8" s="1"/>
  <c r="Q1884" i="8" s="1"/>
  <c r="Q1885" i="8" s="1"/>
  <c r="Q1886" i="8" s="1"/>
  <c r="Q1887" i="8" s="1"/>
  <c r="Q1888" i="8" s="1"/>
  <c r="Q1889" i="8" s="1"/>
  <c r="Q1890" i="8" s="1"/>
  <c r="Q1891" i="8" s="1"/>
  <c r="Q1892" i="8" s="1"/>
  <c r="Q1893" i="8" s="1"/>
  <c r="Q1894" i="8" s="1"/>
  <c r="Q1895" i="8" s="1"/>
  <c r="Q1896" i="8" s="1"/>
  <c r="Q1897" i="8" s="1"/>
  <c r="Q1898" i="8" s="1"/>
  <c r="Q1899" i="8" s="1"/>
  <c r="Q1900" i="8" s="1"/>
  <c r="Q1901" i="8" s="1"/>
  <c r="Q1902" i="8" s="1"/>
  <c r="Q1903" i="8" s="1"/>
  <c r="Q1904" i="8" s="1"/>
  <c r="Q1905" i="8" s="1"/>
  <c r="Q1906" i="8" s="1"/>
  <c r="Q1907" i="8" s="1"/>
  <c r="Q1908" i="8" s="1"/>
  <c r="Q1909" i="8" s="1"/>
  <c r="Q1910" i="8" s="1"/>
  <c r="Q1911" i="8" s="1"/>
  <c r="Q1912" i="8" s="1"/>
  <c r="Q1913" i="8" s="1"/>
  <c r="Q1914" i="8" s="1"/>
  <c r="Q1915" i="8" s="1"/>
  <c r="Q1916" i="8" s="1"/>
  <c r="Q1917" i="8" s="1"/>
  <c r="Q1918" i="8" s="1"/>
  <c r="Q1919" i="8" s="1"/>
  <c r="Q1920" i="8" s="1"/>
  <c r="Q1921" i="8" s="1"/>
  <c r="Q1922" i="8" s="1"/>
  <c r="Q1923" i="8" s="1"/>
  <c r="Q1924" i="8" s="1"/>
  <c r="Q1925" i="8" s="1"/>
  <c r="Q1926" i="8" s="1"/>
  <c r="Q1927" i="8" s="1"/>
  <c r="Q1928" i="8" s="1"/>
  <c r="Q1929" i="8" s="1"/>
  <c r="Q1930" i="8" s="1"/>
  <c r="Q1931" i="8" s="1"/>
  <c r="Q1932" i="8" s="1"/>
  <c r="Q1933" i="8" s="1"/>
  <c r="Q1934" i="8" s="1"/>
  <c r="Q1935" i="8" s="1"/>
  <c r="Q1936" i="8" s="1"/>
  <c r="Q1937" i="8" s="1"/>
  <c r="Q1938" i="8" s="1"/>
  <c r="Q1939" i="8" s="1"/>
  <c r="Q1940" i="8" s="1"/>
  <c r="Q1941" i="8" s="1"/>
  <c r="Q1942" i="8" s="1"/>
  <c r="Q1943" i="8" s="1"/>
  <c r="Q1944" i="8" s="1"/>
  <c r="Q1945" i="8" s="1"/>
  <c r="Q1946" i="8" s="1"/>
  <c r="Q1947" i="8" s="1"/>
  <c r="Q1948" i="8" s="1"/>
  <c r="Q1949" i="8" s="1"/>
  <c r="Q1950" i="8" s="1"/>
  <c r="Q1951" i="8" s="1"/>
  <c r="Q1952" i="8" s="1"/>
  <c r="Q1953" i="8" s="1"/>
  <c r="Q1954" i="8" s="1"/>
  <c r="Q1955" i="8" s="1"/>
  <c r="Q1956" i="8" s="1"/>
  <c r="Q1957" i="8" s="1"/>
  <c r="Q1958" i="8" s="1"/>
  <c r="Q1959" i="8" s="1"/>
  <c r="Q1960" i="8" s="1"/>
  <c r="Q1961" i="8" s="1"/>
  <c r="Q1962" i="8" s="1"/>
  <c r="Q1963" i="8" s="1"/>
  <c r="Q1964" i="8" s="1"/>
  <c r="Q1965" i="8" s="1"/>
  <c r="Q1966" i="8" s="1"/>
  <c r="Q1967" i="8" s="1"/>
  <c r="Q1968" i="8" s="1"/>
  <c r="Q1969" i="8" s="1"/>
  <c r="Q1970" i="8" s="1"/>
  <c r="Q1971" i="8" s="1"/>
  <c r="Q1972" i="8" s="1"/>
  <c r="Q1973" i="8" s="1"/>
  <c r="Q1974" i="8" s="1"/>
  <c r="Q1975" i="8" s="1"/>
  <c r="Q1976" i="8" s="1"/>
  <c r="Q1977" i="8" s="1"/>
  <c r="Q1978" i="8" s="1"/>
  <c r="Q1979" i="8" s="1"/>
  <c r="Q1980" i="8" s="1"/>
  <c r="Q1981" i="8" s="1"/>
  <c r="Q1982" i="8" s="1"/>
  <c r="Q1983" i="8" s="1"/>
  <c r="Q1984" i="8" s="1"/>
  <c r="Q1985" i="8" s="1"/>
  <c r="Q1986" i="8" s="1"/>
  <c r="Q1987" i="8" s="1"/>
  <c r="Q1988" i="8" s="1"/>
  <c r="Q1989" i="8" s="1"/>
  <c r="Q1990" i="8" s="1"/>
  <c r="Q1991" i="8" s="1"/>
  <c r="Q1992" i="8" s="1"/>
  <c r="Q1993" i="8" s="1"/>
  <c r="Q1994" i="8" s="1"/>
  <c r="Q1995" i="8" s="1"/>
  <c r="Q1996" i="8" s="1"/>
  <c r="Q1997" i="8" s="1"/>
  <c r="Q1998" i="8" s="1"/>
  <c r="Q1999" i="8" s="1"/>
  <c r="Q2000" i="8" s="1"/>
  <c r="Q2001" i="8" s="1"/>
  <c r="Q2002" i="8" s="1"/>
  <c r="Q2003" i="8" s="1"/>
  <c r="Q2004" i="8" s="1"/>
  <c r="Q2005" i="8" s="1"/>
  <c r="Q2006" i="8" s="1"/>
  <c r="Q2007" i="8" s="1"/>
  <c r="Q2008" i="8" s="1"/>
  <c r="Q2009" i="8" s="1"/>
  <c r="Q2010" i="8" s="1"/>
  <c r="Q2011" i="8" s="1"/>
  <c r="Q2012" i="8" s="1"/>
  <c r="Q2013" i="8" s="1"/>
  <c r="Q2014" i="8" s="1"/>
  <c r="Q2015" i="8" s="1"/>
  <c r="Q2016" i="8" s="1"/>
  <c r="Q2017" i="8" s="1"/>
  <c r="Q2018" i="8" s="1"/>
  <c r="Q2019" i="8" s="1"/>
  <c r="Q2020" i="8" s="1"/>
  <c r="Q2021" i="8" s="1"/>
  <c r="Q2022" i="8" s="1"/>
  <c r="Q2023" i="8" s="1"/>
  <c r="Q2024" i="8" s="1"/>
  <c r="Q2025" i="8" s="1"/>
  <c r="Q2026" i="8" s="1"/>
  <c r="Q2027" i="8" s="1"/>
  <c r="Q2028" i="8" s="1"/>
  <c r="Q2029" i="8" s="1"/>
  <c r="Q2030" i="8" s="1"/>
  <c r="Q2031" i="8" s="1"/>
  <c r="Q2032" i="8" s="1"/>
  <c r="Q2033" i="8" s="1"/>
  <c r="Q2034" i="8" s="1"/>
  <c r="Q2035" i="8" s="1"/>
  <c r="Q2036" i="8" s="1"/>
  <c r="Q2037" i="8" s="1"/>
  <c r="B37" i="8"/>
  <c r="M36" i="8"/>
  <c r="M35" i="8"/>
  <c r="B32" i="8"/>
  <c r="B31" i="8"/>
  <c r="B45" i="8" s="1"/>
  <c r="B30" i="8"/>
  <c r="K30" i="8" s="1"/>
  <c r="K44" i="8" s="1"/>
  <c r="B29" i="8"/>
  <c r="B43" i="8" s="1"/>
  <c r="B28" i="8"/>
  <c r="B27" i="8"/>
  <c r="B41" i="8" s="1"/>
  <c r="B26" i="8"/>
  <c r="K26" i="8" s="1"/>
  <c r="K40" i="8" s="1"/>
  <c r="B25" i="8"/>
  <c r="B24" i="8"/>
  <c r="K23" i="8"/>
  <c r="K37" i="8" s="1"/>
  <c r="N16" i="8"/>
  <c r="E16" i="8"/>
  <c r="C16" i="8"/>
  <c r="N15" i="8"/>
  <c r="E15" i="8"/>
  <c r="C15" i="8"/>
  <c r="N14" i="8"/>
  <c r="N13" i="8"/>
  <c r="C13" i="8"/>
  <c r="N12" i="8"/>
  <c r="C12" i="8"/>
  <c r="N11" i="8"/>
  <c r="N10" i="8"/>
  <c r="I10" i="8"/>
  <c r="E10" i="8"/>
  <c r="C23" i="8" s="1"/>
  <c r="N9" i="8"/>
  <c r="E9" i="8"/>
  <c r="H14" i="8" s="1"/>
  <c r="N8" i="8"/>
  <c r="N7" i="8"/>
  <c r="N6" i="8"/>
  <c r="N5" i="8"/>
  <c r="N4" i="8"/>
  <c r="N3" i="8"/>
  <c r="N2" i="8"/>
  <c r="R912" i="7"/>
  <c r="R911" i="7"/>
  <c r="R910" i="7"/>
  <c r="R909" i="7"/>
  <c r="R908" i="7"/>
  <c r="R907" i="7"/>
  <c r="R906" i="7"/>
  <c r="R905" i="7"/>
  <c r="R904" i="7"/>
  <c r="R903" i="7"/>
  <c r="R902" i="7"/>
  <c r="R901" i="7"/>
  <c r="R900" i="7"/>
  <c r="R899" i="7"/>
  <c r="R898" i="7"/>
  <c r="R897" i="7"/>
  <c r="R896" i="7"/>
  <c r="R895" i="7"/>
  <c r="R894" i="7"/>
  <c r="R893" i="7"/>
  <c r="R892" i="7"/>
  <c r="R891" i="7"/>
  <c r="R890" i="7"/>
  <c r="R889" i="7"/>
  <c r="R888" i="7"/>
  <c r="R887" i="7"/>
  <c r="R886" i="7"/>
  <c r="R885" i="7"/>
  <c r="R884" i="7"/>
  <c r="R883" i="7"/>
  <c r="R882" i="7"/>
  <c r="R881" i="7"/>
  <c r="R880" i="7"/>
  <c r="R879" i="7"/>
  <c r="R878" i="7"/>
  <c r="R877" i="7"/>
  <c r="R876" i="7"/>
  <c r="R875" i="7"/>
  <c r="R874" i="7"/>
  <c r="R873" i="7"/>
  <c r="R872" i="7"/>
  <c r="R871" i="7"/>
  <c r="R870" i="7"/>
  <c r="R869" i="7"/>
  <c r="R868" i="7"/>
  <c r="R867" i="7"/>
  <c r="R866" i="7"/>
  <c r="R865" i="7"/>
  <c r="R864" i="7"/>
  <c r="R863" i="7"/>
  <c r="R862" i="7"/>
  <c r="R861" i="7"/>
  <c r="R860" i="7"/>
  <c r="R859" i="7"/>
  <c r="R858" i="7"/>
  <c r="R857" i="7"/>
  <c r="R856" i="7"/>
  <c r="R855" i="7"/>
  <c r="R854" i="7"/>
  <c r="R853" i="7"/>
  <c r="R852" i="7"/>
  <c r="R851" i="7"/>
  <c r="R850" i="7"/>
  <c r="R849" i="7"/>
  <c r="R848" i="7"/>
  <c r="R847" i="7"/>
  <c r="R846" i="7"/>
  <c r="R845" i="7"/>
  <c r="R844" i="7"/>
  <c r="R843" i="7"/>
  <c r="R842" i="7"/>
  <c r="R841" i="7"/>
  <c r="R840" i="7"/>
  <c r="R839" i="7"/>
  <c r="R838" i="7"/>
  <c r="R837" i="7"/>
  <c r="R836" i="7"/>
  <c r="R835" i="7"/>
  <c r="R834" i="7"/>
  <c r="R833" i="7"/>
  <c r="R832" i="7"/>
  <c r="R831" i="7"/>
  <c r="R830" i="7"/>
  <c r="R829" i="7"/>
  <c r="R828" i="7"/>
  <c r="R827" i="7"/>
  <c r="R826" i="7"/>
  <c r="R825" i="7"/>
  <c r="R824" i="7"/>
  <c r="R823" i="7"/>
  <c r="R822" i="7"/>
  <c r="R821" i="7"/>
  <c r="R820" i="7"/>
  <c r="R819" i="7"/>
  <c r="R818" i="7"/>
  <c r="R817" i="7"/>
  <c r="R816" i="7"/>
  <c r="R815" i="7"/>
  <c r="R814" i="7"/>
  <c r="R813" i="7"/>
  <c r="R812" i="7"/>
  <c r="R811" i="7"/>
  <c r="R810" i="7"/>
  <c r="R809" i="7"/>
  <c r="R808" i="7"/>
  <c r="R807" i="7"/>
  <c r="R806" i="7"/>
  <c r="R805" i="7"/>
  <c r="R804" i="7"/>
  <c r="R803" i="7"/>
  <c r="R802" i="7"/>
  <c r="R801" i="7"/>
  <c r="R800" i="7"/>
  <c r="R799" i="7"/>
  <c r="R798" i="7"/>
  <c r="R797" i="7"/>
  <c r="R796" i="7"/>
  <c r="R795" i="7"/>
  <c r="R794" i="7"/>
  <c r="R793" i="7"/>
  <c r="R792" i="7"/>
  <c r="R791" i="7"/>
  <c r="R790" i="7"/>
  <c r="R789" i="7"/>
  <c r="R788" i="7"/>
  <c r="R787" i="7"/>
  <c r="R786" i="7"/>
  <c r="R785" i="7"/>
  <c r="R784" i="7"/>
  <c r="R783" i="7"/>
  <c r="R782" i="7"/>
  <c r="R781" i="7"/>
  <c r="R780" i="7"/>
  <c r="R779" i="7"/>
  <c r="R778" i="7"/>
  <c r="R777" i="7"/>
  <c r="R776" i="7"/>
  <c r="R775" i="7"/>
  <c r="R774" i="7"/>
  <c r="R773" i="7"/>
  <c r="R772" i="7"/>
  <c r="R771" i="7"/>
  <c r="R770" i="7"/>
  <c r="R769" i="7"/>
  <c r="R768" i="7"/>
  <c r="R767" i="7"/>
  <c r="R766" i="7"/>
  <c r="R765" i="7"/>
  <c r="R764" i="7"/>
  <c r="R763" i="7"/>
  <c r="R762" i="7"/>
  <c r="R761" i="7"/>
  <c r="R760" i="7"/>
  <c r="R759" i="7"/>
  <c r="R758" i="7"/>
  <c r="R757" i="7"/>
  <c r="R756" i="7"/>
  <c r="R755" i="7"/>
  <c r="R754" i="7"/>
  <c r="R753" i="7"/>
  <c r="R752" i="7"/>
  <c r="R751" i="7"/>
  <c r="R750" i="7"/>
  <c r="R749" i="7"/>
  <c r="R748" i="7"/>
  <c r="R747" i="7"/>
  <c r="R746" i="7"/>
  <c r="R745" i="7"/>
  <c r="R744" i="7"/>
  <c r="R743" i="7"/>
  <c r="R742" i="7"/>
  <c r="R741" i="7"/>
  <c r="R740" i="7"/>
  <c r="R739" i="7"/>
  <c r="R738" i="7"/>
  <c r="R737" i="7"/>
  <c r="R736" i="7"/>
  <c r="R735" i="7"/>
  <c r="R734" i="7"/>
  <c r="R733" i="7"/>
  <c r="R732" i="7"/>
  <c r="R731" i="7"/>
  <c r="R730" i="7"/>
  <c r="R729" i="7"/>
  <c r="R728" i="7"/>
  <c r="R727" i="7"/>
  <c r="R726" i="7"/>
  <c r="R725" i="7"/>
  <c r="R724" i="7"/>
  <c r="R723" i="7"/>
  <c r="R722" i="7"/>
  <c r="R721" i="7"/>
  <c r="R720" i="7"/>
  <c r="R719" i="7"/>
  <c r="R718" i="7"/>
  <c r="R717" i="7"/>
  <c r="R716" i="7"/>
  <c r="R715" i="7"/>
  <c r="R714" i="7"/>
  <c r="R713" i="7"/>
  <c r="R712" i="7"/>
  <c r="R711" i="7"/>
  <c r="R710" i="7"/>
  <c r="R709" i="7"/>
  <c r="R708" i="7"/>
  <c r="R707" i="7"/>
  <c r="R706" i="7"/>
  <c r="R705" i="7"/>
  <c r="R704" i="7"/>
  <c r="R703" i="7"/>
  <c r="R702" i="7"/>
  <c r="R701" i="7"/>
  <c r="R700" i="7"/>
  <c r="R699" i="7"/>
  <c r="R698" i="7"/>
  <c r="R697" i="7"/>
  <c r="R696" i="7"/>
  <c r="R695" i="7"/>
  <c r="R694" i="7"/>
  <c r="R693" i="7"/>
  <c r="R692" i="7"/>
  <c r="R691" i="7"/>
  <c r="R690" i="7"/>
  <c r="R689" i="7"/>
  <c r="R688" i="7"/>
  <c r="R687" i="7"/>
  <c r="R686" i="7"/>
  <c r="R685" i="7"/>
  <c r="R684" i="7"/>
  <c r="R683" i="7"/>
  <c r="R682" i="7"/>
  <c r="R681" i="7"/>
  <c r="R680" i="7"/>
  <c r="R679" i="7"/>
  <c r="R678" i="7"/>
  <c r="R677" i="7"/>
  <c r="R676" i="7"/>
  <c r="R675" i="7"/>
  <c r="R674" i="7"/>
  <c r="R673" i="7"/>
  <c r="R672" i="7"/>
  <c r="R671" i="7"/>
  <c r="R670" i="7"/>
  <c r="R669" i="7"/>
  <c r="R668" i="7"/>
  <c r="R667" i="7"/>
  <c r="R666" i="7"/>
  <c r="R665" i="7"/>
  <c r="R664" i="7"/>
  <c r="R663" i="7"/>
  <c r="R662" i="7"/>
  <c r="R661" i="7"/>
  <c r="R660" i="7"/>
  <c r="R659" i="7"/>
  <c r="R658" i="7"/>
  <c r="R657" i="7"/>
  <c r="R656" i="7"/>
  <c r="R655" i="7"/>
  <c r="R654" i="7"/>
  <c r="R653" i="7"/>
  <c r="R652" i="7"/>
  <c r="R651" i="7"/>
  <c r="R650" i="7"/>
  <c r="R649" i="7"/>
  <c r="R648" i="7"/>
  <c r="R647" i="7"/>
  <c r="R646" i="7"/>
  <c r="R645" i="7"/>
  <c r="R644" i="7"/>
  <c r="R643" i="7"/>
  <c r="R642" i="7"/>
  <c r="R641" i="7"/>
  <c r="R640" i="7"/>
  <c r="R639" i="7"/>
  <c r="R638" i="7"/>
  <c r="R637" i="7"/>
  <c r="R636" i="7"/>
  <c r="R635" i="7"/>
  <c r="R634" i="7"/>
  <c r="R633" i="7"/>
  <c r="R632" i="7"/>
  <c r="R631" i="7"/>
  <c r="R630" i="7"/>
  <c r="R629" i="7"/>
  <c r="R628" i="7"/>
  <c r="R627" i="7"/>
  <c r="R626" i="7"/>
  <c r="R625" i="7"/>
  <c r="R624" i="7"/>
  <c r="R623" i="7"/>
  <c r="R622" i="7"/>
  <c r="R621" i="7"/>
  <c r="R620" i="7"/>
  <c r="R619" i="7"/>
  <c r="R618" i="7"/>
  <c r="R617" i="7"/>
  <c r="R616" i="7"/>
  <c r="R615" i="7"/>
  <c r="R614" i="7"/>
  <c r="R613" i="7"/>
  <c r="R612" i="7"/>
  <c r="R611" i="7"/>
  <c r="R610" i="7"/>
  <c r="R609" i="7"/>
  <c r="R608" i="7"/>
  <c r="R607" i="7"/>
  <c r="R606" i="7"/>
  <c r="R605" i="7"/>
  <c r="R604" i="7"/>
  <c r="R603" i="7"/>
  <c r="R602" i="7"/>
  <c r="R601" i="7"/>
  <c r="R600" i="7"/>
  <c r="R599" i="7"/>
  <c r="R598" i="7"/>
  <c r="R597" i="7"/>
  <c r="R596" i="7"/>
  <c r="R595" i="7"/>
  <c r="R594" i="7"/>
  <c r="R593" i="7"/>
  <c r="R592" i="7"/>
  <c r="R591" i="7"/>
  <c r="R590" i="7"/>
  <c r="R589" i="7"/>
  <c r="R588" i="7"/>
  <c r="R587" i="7"/>
  <c r="R586" i="7"/>
  <c r="R585" i="7"/>
  <c r="R584" i="7"/>
  <c r="R583" i="7"/>
  <c r="R582" i="7"/>
  <c r="R581" i="7"/>
  <c r="R580" i="7"/>
  <c r="R579" i="7"/>
  <c r="R578" i="7"/>
  <c r="R577" i="7"/>
  <c r="R576" i="7"/>
  <c r="R575" i="7"/>
  <c r="R574" i="7"/>
  <c r="R573" i="7"/>
  <c r="R572" i="7"/>
  <c r="R571" i="7"/>
  <c r="R570" i="7"/>
  <c r="R569" i="7"/>
  <c r="R568" i="7"/>
  <c r="R567" i="7"/>
  <c r="R566" i="7"/>
  <c r="R565" i="7"/>
  <c r="R564" i="7"/>
  <c r="R563" i="7"/>
  <c r="R562" i="7"/>
  <c r="R561" i="7"/>
  <c r="R560" i="7"/>
  <c r="R559" i="7"/>
  <c r="R558" i="7"/>
  <c r="R557" i="7"/>
  <c r="R556" i="7"/>
  <c r="R555" i="7"/>
  <c r="R554" i="7"/>
  <c r="R553" i="7"/>
  <c r="R552" i="7"/>
  <c r="R551" i="7"/>
  <c r="R550" i="7"/>
  <c r="R549" i="7"/>
  <c r="R548" i="7"/>
  <c r="R547" i="7"/>
  <c r="R546" i="7"/>
  <c r="R545" i="7"/>
  <c r="R544" i="7"/>
  <c r="R543" i="7"/>
  <c r="R542" i="7"/>
  <c r="R541" i="7"/>
  <c r="R540" i="7"/>
  <c r="R539" i="7"/>
  <c r="R538" i="7"/>
  <c r="R537" i="7"/>
  <c r="R536" i="7"/>
  <c r="R535" i="7"/>
  <c r="R534" i="7"/>
  <c r="R533" i="7"/>
  <c r="R532" i="7"/>
  <c r="R531" i="7"/>
  <c r="R530" i="7"/>
  <c r="R529" i="7"/>
  <c r="R528" i="7"/>
  <c r="R527" i="7"/>
  <c r="R526" i="7"/>
  <c r="R525" i="7"/>
  <c r="R524" i="7"/>
  <c r="R523" i="7"/>
  <c r="R522" i="7"/>
  <c r="R521" i="7"/>
  <c r="R520" i="7"/>
  <c r="R519" i="7"/>
  <c r="R518" i="7"/>
  <c r="R517" i="7"/>
  <c r="R516" i="7"/>
  <c r="R515" i="7"/>
  <c r="R514" i="7"/>
  <c r="R513" i="7"/>
  <c r="R512" i="7"/>
  <c r="R511" i="7"/>
  <c r="R510" i="7"/>
  <c r="R509" i="7"/>
  <c r="R508" i="7"/>
  <c r="R507" i="7"/>
  <c r="R506" i="7"/>
  <c r="R505" i="7"/>
  <c r="R504" i="7"/>
  <c r="R503" i="7"/>
  <c r="R502" i="7"/>
  <c r="R501" i="7"/>
  <c r="R500" i="7"/>
  <c r="R499" i="7"/>
  <c r="R498" i="7"/>
  <c r="R497" i="7"/>
  <c r="R496" i="7"/>
  <c r="R495" i="7"/>
  <c r="R494" i="7"/>
  <c r="R493" i="7"/>
  <c r="R492" i="7"/>
  <c r="R491" i="7"/>
  <c r="R490" i="7"/>
  <c r="R489" i="7"/>
  <c r="R488" i="7"/>
  <c r="R487" i="7"/>
  <c r="R486" i="7"/>
  <c r="R485" i="7"/>
  <c r="R484" i="7"/>
  <c r="R483" i="7"/>
  <c r="R482" i="7"/>
  <c r="R481" i="7"/>
  <c r="R480" i="7"/>
  <c r="R479" i="7"/>
  <c r="R478" i="7"/>
  <c r="R477" i="7"/>
  <c r="R476" i="7"/>
  <c r="R475" i="7"/>
  <c r="R474" i="7"/>
  <c r="R473" i="7"/>
  <c r="R472" i="7"/>
  <c r="R471" i="7"/>
  <c r="R470" i="7"/>
  <c r="R469" i="7"/>
  <c r="R468" i="7"/>
  <c r="R467" i="7"/>
  <c r="R466" i="7"/>
  <c r="R465" i="7"/>
  <c r="R464" i="7"/>
  <c r="R463" i="7"/>
  <c r="R462" i="7"/>
  <c r="R461" i="7"/>
  <c r="R460" i="7"/>
  <c r="R459" i="7"/>
  <c r="R458" i="7"/>
  <c r="R457" i="7"/>
  <c r="R456" i="7"/>
  <c r="R455" i="7"/>
  <c r="R454" i="7"/>
  <c r="R453" i="7"/>
  <c r="R452" i="7"/>
  <c r="R451" i="7"/>
  <c r="R450" i="7"/>
  <c r="R449" i="7"/>
  <c r="R448" i="7"/>
  <c r="R447" i="7"/>
  <c r="R446" i="7"/>
  <c r="R445" i="7"/>
  <c r="R444" i="7"/>
  <c r="R443" i="7"/>
  <c r="R442" i="7"/>
  <c r="R441" i="7"/>
  <c r="R440" i="7"/>
  <c r="R439" i="7"/>
  <c r="R438" i="7"/>
  <c r="R437" i="7"/>
  <c r="R436" i="7"/>
  <c r="R435" i="7"/>
  <c r="R434" i="7"/>
  <c r="R433" i="7"/>
  <c r="R432" i="7"/>
  <c r="R431" i="7"/>
  <c r="R430" i="7"/>
  <c r="R429" i="7"/>
  <c r="R428" i="7"/>
  <c r="R427" i="7"/>
  <c r="R426" i="7"/>
  <c r="R425" i="7"/>
  <c r="R424" i="7"/>
  <c r="R423" i="7"/>
  <c r="R422" i="7"/>
  <c r="R421" i="7"/>
  <c r="R420" i="7"/>
  <c r="R419" i="7"/>
  <c r="R418" i="7"/>
  <c r="R417" i="7"/>
  <c r="R416" i="7"/>
  <c r="R415" i="7"/>
  <c r="R414" i="7"/>
  <c r="R413" i="7"/>
  <c r="R412" i="7"/>
  <c r="R411" i="7"/>
  <c r="R410" i="7"/>
  <c r="R409" i="7"/>
  <c r="R408" i="7"/>
  <c r="R407" i="7"/>
  <c r="R406" i="7"/>
  <c r="R405" i="7"/>
  <c r="R404" i="7"/>
  <c r="R403" i="7"/>
  <c r="R402" i="7"/>
  <c r="R401" i="7"/>
  <c r="R400" i="7"/>
  <c r="R399" i="7"/>
  <c r="R398" i="7"/>
  <c r="R397" i="7"/>
  <c r="R396" i="7"/>
  <c r="R395" i="7"/>
  <c r="R394" i="7"/>
  <c r="R393" i="7"/>
  <c r="R392" i="7"/>
  <c r="R391" i="7"/>
  <c r="R390" i="7"/>
  <c r="R389" i="7"/>
  <c r="R388" i="7"/>
  <c r="R387" i="7"/>
  <c r="R386" i="7"/>
  <c r="R385" i="7"/>
  <c r="R384" i="7"/>
  <c r="R383" i="7"/>
  <c r="R382" i="7"/>
  <c r="R381" i="7"/>
  <c r="R380" i="7"/>
  <c r="R379" i="7"/>
  <c r="R378" i="7"/>
  <c r="R377" i="7"/>
  <c r="R376" i="7"/>
  <c r="R375" i="7"/>
  <c r="R374" i="7"/>
  <c r="R373" i="7"/>
  <c r="R372" i="7"/>
  <c r="R371" i="7"/>
  <c r="R370" i="7"/>
  <c r="R369" i="7"/>
  <c r="R368" i="7"/>
  <c r="R367" i="7"/>
  <c r="R366" i="7"/>
  <c r="R365" i="7"/>
  <c r="R364" i="7"/>
  <c r="R363" i="7"/>
  <c r="R362" i="7"/>
  <c r="R361" i="7"/>
  <c r="R360" i="7"/>
  <c r="R359" i="7"/>
  <c r="R358" i="7"/>
  <c r="R357" i="7"/>
  <c r="R356" i="7"/>
  <c r="R355" i="7"/>
  <c r="R354" i="7"/>
  <c r="R353" i="7"/>
  <c r="R352" i="7"/>
  <c r="R351" i="7"/>
  <c r="R350" i="7"/>
  <c r="R349" i="7"/>
  <c r="R348" i="7"/>
  <c r="R347" i="7"/>
  <c r="R346" i="7"/>
  <c r="R345" i="7"/>
  <c r="R344" i="7"/>
  <c r="R343" i="7"/>
  <c r="R342" i="7"/>
  <c r="R341" i="7"/>
  <c r="R340" i="7"/>
  <c r="R339" i="7"/>
  <c r="R338" i="7"/>
  <c r="R337" i="7"/>
  <c r="R336" i="7"/>
  <c r="R335" i="7"/>
  <c r="R334" i="7"/>
  <c r="R333" i="7"/>
  <c r="R332" i="7"/>
  <c r="R331" i="7"/>
  <c r="R330" i="7"/>
  <c r="R329" i="7"/>
  <c r="R328" i="7"/>
  <c r="R327" i="7"/>
  <c r="R326" i="7"/>
  <c r="R325" i="7"/>
  <c r="R324" i="7"/>
  <c r="R323" i="7"/>
  <c r="R322" i="7"/>
  <c r="R321" i="7"/>
  <c r="R320" i="7"/>
  <c r="R319" i="7"/>
  <c r="R318" i="7"/>
  <c r="R317" i="7"/>
  <c r="R316" i="7"/>
  <c r="R315" i="7"/>
  <c r="R314" i="7"/>
  <c r="R313" i="7"/>
  <c r="R312" i="7"/>
  <c r="R311" i="7"/>
  <c r="R310" i="7"/>
  <c r="R309" i="7"/>
  <c r="R308" i="7"/>
  <c r="R307" i="7"/>
  <c r="R306" i="7"/>
  <c r="R305" i="7"/>
  <c r="R304" i="7"/>
  <c r="R303" i="7"/>
  <c r="R302" i="7"/>
  <c r="R301" i="7"/>
  <c r="R300" i="7"/>
  <c r="R299" i="7"/>
  <c r="R298" i="7"/>
  <c r="R297" i="7"/>
  <c r="R296" i="7"/>
  <c r="R295" i="7"/>
  <c r="R294" i="7"/>
  <c r="R293" i="7"/>
  <c r="R292" i="7"/>
  <c r="R291" i="7"/>
  <c r="R290" i="7"/>
  <c r="R289" i="7"/>
  <c r="R288" i="7"/>
  <c r="R287" i="7"/>
  <c r="R286" i="7"/>
  <c r="R285" i="7"/>
  <c r="R284" i="7"/>
  <c r="R283" i="7"/>
  <c r="R282" i="7"/>
  <c r="R281" i="7"/>
  <c r="R280" i="7"/>
  <c r="R279" i="7"/>
  <c r="R278" i="7"/>
  <c r="R277" i="7"/>
  <c r="R276" i="7"/>
  <c r="R275" i="7"/>
  <c r="R274" i="7"/>
  <c r="R273" i="7"/>
  <c r="R272" i="7"/>
  <c r="R271" i="7"/>
  <c r="R270" i="7"/>
  <c r="R269" i="7"/>
  <c r="R268" i="7"/>
  <c r="R267" i="7"/>
  <c r="R266" i="7"/>
  <c r="R265" i="7"/>
  <c r="R264" i="7"/>
  <c r="R263" i="7"/>
  <c r="R262" i="7"/>
  <c r="R261" i="7"/>
  <c r="R260" i="7"/>
  <c r="R259" i="7"/>
  <c r="R258" i="7"/>
  <c r="R257" i="7"/>
  <c r="R256" i="7"/>
  <c r="R255" i="7"/>
  <c r="R254" i="7"/>
  <c r="R253" i="7"/>
  <c r="R252" i="7"/>
  <c r="R251" i="7"/>
  <c r="R250" i="7"/>
  <c r="R249" i="7"/>
  <c r="R248" i="7"/>
  <c r="R247" i="7"/>
  <c r="R246" i="7"/>
  <c r="R245" i="7"/>
  <c r="R244" i="7"/>
  <c r="R243" i="7"/>
  <c r="R242" i="7"/>
  <c r="R241" i="7"/>
  <c r="R240" i="7"/>
  <c r="R239" i="7"/>
  <c r="R238" i="7"/>
  <c r="R237" i="7"/>
  <c r="R236" i="7"/>
  <c r="R235" i="7"/>
  <c r="R234" i="7"/>
  <c r="R233" i="7"/>
  <c r="R232" i="7"/>
  <c r="R231" i="7"/>
  <c r="R230" i="7"/>
  <c r="R229" i="7"/>
  <c r="R228" i="7"/>
  <c r="R227" i="7"/>
  <c r="R226" i="7"/>
  <c r="R225" i="7"/>
  <c r="R224" i="7"/>
  <c r="D60" i="7"/>
  <c r="H53" i="7"/>
  <c r="C53" i="7"/>
  <c r="I52" i="7"/>
  <c r="G60" i="7" s="1"/>
  <c r="D52" i="7"/>
  <c r="B60" i="7" s="1"/>
  <c r="G51" i="7"/>
  <c r="I51" i="7" s="1"/>
  <c r="I50" i="7"/>
  <c r="B50" i="7"/>
  <c r="Q39" i="7"/>
  <c r="Q40" i="7" s="1"/>
  <c r="Q41" i="7" s="1"/>
  <c r="Q42" i="7" s="1"/>
  <c r="Q43" i="7" s="1"/>
  <c r="Q44" i="7" s="1"/>
  <c r="Q45" i="7" s="1"/>
  <c r="Q46" i="7" s="1"/>
  <c r="Q47" i="7" s="1"/>
  <c r="Q48" i="7" s="1"/>
  <c r="Q49" i="7" s="1"/>
  <c r="Q50" i="7" s="1"/>
  <c r="Q51" i="7" s="1"/>
  <c r="Q52" i="7" s="1"/>
  <c r="Q53" i="7" s="1"/>
  <c r="Q54" i="7" s="1"/>
  <c r="Q55" i="7" s="1"/>
  <c r="Q56" i="7" s="1"/>
  <c r="Q57" i="7" s="1"/>
  <c r="Q58" i="7" s="1"/>
  <c r="Q59" i="7" s="1"/>
  <c r="Q60" i="7" s="1"/>
  <c r="Q61" i="7" s="1"/>
  <c r="Q62" i="7" s="1"/>
  <c r="Q63" i="7" s="1"/>
  <c r="Q64" i="7" s="1"/>
  <c r="Q65" i="7" s="1"/>
  <c r="Q66" i="7" s="1"/>
  <c r="Q67" i="7" s="1"/>
  <c r="Q68" i="7" s="1"/>
  <c r="Q69" i="7" s="1"/>
  <c r="Q70" i="7" s="1"/>
  <c r="Q71" i="7" s="1"/>
  <c r="Q72" i="7" s="1"/>
  <c r="Q73" i="7" s="1"/>
  <c r="Q74" i="7" s="1"/>
  <c r="Q75" i="7" s="1"/>
  <c r="Q76" i="7" s="1"/>
  <c r="Q77" i="7" s="1"/>
  <c r="Q78" i="7" s="1"/>
  <c r="Q79" i="7" s="1"/>
  <c r="Q80" i="7" s="1"/>
  <c r="Q81" i="7" s="1"/>
  <c r="Q82" i="7" s="1"/>
  <c r="Q83" i="7" s="1"/>
  <c r="Q84" i="7" s="1"/>
  <c r="Q85" i="7" s="1"/>
  <c r="Q86" i="7" s="1"/>
  <c r="Q87" i="7" s="1"/>
  <c r="Q88" i="7" s="1"/>
  <c r="Q89" i="7" s="1"/>
  <c r="Q90" i="7" s="1"/>
  <c r="Q91" i="7" s="1"/>
  <c r="Q92" i="7" s="1"/>
  <c r="Q93" i="7" s="1"/>
  <c r="Q94" i="7" s="1"/>
  <c r="Q95" i="7" s="1"/>
  <c r="Q96" i="7" s="1"/>
  <c r="Q97" i="7" s="1"/>
  <c r="Q98" i="7" s="1"/>
  <c r="Q99" i="7" s="1"/>
  <c r="Q100" i="7" s="1"/>
  <c r="Q101" i="7" s="1"/>
  <c r="Q102" i="7" s="1"/>
  <c r="Q103" i="7" s="1"/>
  <c r="Q104" i="7" s="1"/>
  <c r="Q105" i="7" s="1"/>
  <c r="Q106" i="7" s="1"/>
  <c r="Q107" i="7" s="1"/>
  <c r="Q108" i="7" s="1"/>
  <c r="Q109" i="7" s="1"/>
  <c r="Q110" i="7" s="1"/>
  <c r="Q111" i="7" s="1"/>
  <c r="Q112" i="7" s="1"/>
  <c r="Q113" i="7" s="1"/>
  <c r="Q114" i="7" s="1"/>
  <c r="Q115" i="7" s="1"/>
  <c r="Q116" i="7" s="1"/>
  <c r="Q117" i="7" s="1"/>
  <c r="Q118" i="7" s="1"/>
  <c r="Q119" i="7" s="1"/>
  <c r="Q120" i="7" s="1"/>
  <c r="Q121" i="7" s="1"/>
  <c r="Q122" i="7" s="1"/>
  <c r="Q123" i="7" s="1"/>
  <c r="Q124" i="7" s="1"/>
  <c r="Q125" i="7" s="1"/>
  <c r="Q126" i="7" s="1"/>
  <c r="Q127" i="7" s="1"/>
  <c r="Q128" i="7" s="1"/>
  <c r="Q129" i="7" s="1"/>
  <c r="Q130" i="7" s="1"/>
  <c r="Q131" i="7" s="1"/>
  <c r="Q132" i="7" s="1"/>
  <c r="Q133" i="7" s="1"/>
  <c r="Q134" i="7" s="1"/>
  <c r="Q135" i="7" s="1"/>
  <c r="Q136" i="7" s="1"/>
  <c r="Q137" i="7" s="1"/>
  <c r="Q138" i="7" s="1"/>
  <c r="Q139" i="7" s="1"/>
  <c r="Q140" i="7" s="1"/>
  <c r="Q141" i="7" s="1"/>
  <c r="Q142" i="7" s="1"/>
  <c r="Q143" i="7" s="1"/>
  <c r="Q144" i="7" s="1"/>
  <c r="Q145" i="7" s="1"/>
  <c r="Q146" i="7" s="1"/>
  <c r="Q147" i="7" s="1"/>
  <c r="Q148" i="7" s="1"/>
  <c r="Q149" i="7" s="1"/>
  <c r="Q150" i="7" s="1"/>
  <c r="Q151" i="7" s="1"/>
  <c r="Q152" i="7" s="1"/>
  <c r="Q153" i="7" s="1"/>
  <c r="Q154" i="7" s="1"/>
  <c r="Q155" i="7" s="1"/>
  <c r="Q156" i="7" s="1"/>
  <c r="Q157" i="7" s="1"/>
  <c r="Q158" i="7" s="1"/>
  <c r="Q159" i="7" s="1"/>
  <c r="Q160" i="7" s="1"/>
  <c r="Q161" i="7" s="1"/>
  <c r="Q162" i="7" s="1"/>
  <c r="Q163" i="7" s="1"/>
  <c r="Q164" i="7" s="1"/>
  <c r="Q165" i="7" s="1"/>
  <c r="Q166" i="7" s="1"/>
  <c r="Q167" i="7" s="1"/>
  <c r="Q168" i="7" s="1"/>
  <c r="Q169" i="7" s="1"/>
  <c r="Q170" i="7" s="1"/>
  <c r="Q171" i="7" s="1"/>
  <c r="Q172" i="7" s="1"/>
  <c r="Q173" i="7" s="1"/>
  <c r="Q174" i="7" s="1"/>
  <c r="Q175" i="7" s="1"/>
  <c r="Q176" i="7" s="1"/>
  <c r="Q177" i="7" s="1"/>
  <c r="Q178" i="7" s="1"/>
  <c r="Q179" i="7" s="1"/>
  <c r="Q180" i="7" s="1"/>
  <c r="Q181" i="7" s="1"/>
  <c r="Q182" i="7" s="1"/>
  <c r="Q183" i="7" s="1"/>
  <c r="Q184" i="7" s="1"/>
  <c r="Q185" i="7" s="1"/>
  <c r="Q186" i="7" s="1"/>
  <c r="Q187" i="7" s="1"/>
  <c r="Q188" i="7" s="1"/>
  <c r="Q189" i="7" s="1"/>
  <c r="Q190" i="7" s="1"/>
  <c r="Q191" i="7" s="1"/>
  <c r="Q192" i="7" s="1"/>
  <c r="Q193" i="7" s="1"/>
  <c r="Q194" i="7" s="1"/>
  <c r="Q195" i="7" s="1"/>
  <c r="Q196" i="7" s="1"/>
  <c r="Q197" i="7" s="1"/>
  <c r="Q198" i="7" s="1"/>
  <c r="Q199" i="7" s="1"/>
  <c r="Q200" i="7" s="1"/>
  <c r="Q201" i="7" s="1"/>
  <c r="Q202" i="7" s="1"/>
  <c r="Q203" i="7" s="1"/>
  <c r="Q204" i="7" s="1"/>
  <c r="Q205" i="7" s="1"/>
  <c r="Q206" i="7" s="1"/>
  <c r="Q207" i="7" s="1"/>
  <c r="Q208" i="7" s="1"/>
  <c r="Q209" i="7" s="1"/>
  <c r="Q210" i="7" s="1"/>
  <c r="Q211" i="7" s="1"/>
  <c r="Q212" i="7" s="1"/>
  <c r="Q213" i="7" s="1"/>
  <c r="Q214" i="7" s="1"/>
  <c r="Q215" i="7" s="1"/>
  <c r="Q216" i="7" s="1"/>
  <c r="Q217" i="7" s="1"/>
  <c r="Q218" i="7" s="1"/>
  <c r="Q219" i="7" s="1"/>
  <c r="Q220" i="7" s="1"/>
  <c r="Q221" i="7" s="1"/>
  <c r="Q222" i="7" s="1"/>
  <c r="Q223" i="7" s="1"/>
  <c r="Q224" i="7" s="1"/>
  <c r="Q225" i="7" s="1"/>
  <c r="Q226" i="7" s="1"/>
  <c r="Q227" i="7" s="1"/>
  <c r="Q228" i="7" s="1"/>
  <c r="Q229" i="7" s="1"/>
  <c r="Q230" i="7" s="1"/>
  <c r="Q231" i="7" s="1"/>
  <c r="Q232" i="7" s="1"/>
  <c r="Q233" i="7" s="1"/>
  <c r="Q234" i="7" s="1"/>
  <c r="Q235" i="7" s="1"/>
  <c r="Q236" i="7" s="1"/>
  <c r="Q237" i="7" s="1"/>
  <c r="Q238" i="7" s="1"/>
  <c r="Q239" i="7" s="1"/>
  <c r="Q240" i="7" s="1"/>
  <c r="Q241" i="7" s="1"/>
  <c r="Q242" i="7" s="1"/>
  <c r="Q243" i="7" s="1"/>
  <c r="Q244" i="7" s="1"/>
  <c r="Q245" i="7" s="1"/>
  <c r="Q246" i="7" s="1"/>
  <c r="Q247" i="7" s="1"/>
  <c r="Q248" i="7" s="1"/>
  <c r="Q249" i="7" s="1"/>
  <c r="Q250" i="7" s="1"/>
  <c r="Q251" i="7" s="1"/>
  <c r="Q252" i="7" s="1"/>
  <c r="Q253" i="7" s="1"/>
  <c r="Q254" i="7" s="1"/>
  <c r="Q255" i="7" s="1"/>
  <c r="Q256" i="7" s="1"/>
  <c r="Q257" i="7" s="1"/>
  <c r="Q258" i="7" s="1"/>
  <c r="Q259" i="7" s="1"/>
  <c r="Q260" i="7" s="1"/>
  <c r="Q261" i="7" s="1"/>
  <c r="Q262" i="7" s="1"/>
  <c r="Q263" i="7" s="1"/>
  <c r="Q264" i="7" s="1"/>
  <c r="Q265" i="7" s="1"/>
  <c r="Q266" i="7" s="1"/>
  <c r="Q267" i="7" s="1"/>
  <c r="Q268" i="7" s="1"/>
  <c r="Q269" i="7" s="1"/>
  <c r="Q270" i="7" s="1"/>
  <c r="Q271" i="7" s="1"/>
  <c r="Q272" i="7" s="1"/>
  <c r="Q273" i="7" s="1"/>
  <c r="Q274" i="7" s="1"/>
  <c r="Q275" i="7" s="1"/>
  <c r="Q276" i="7" s="1"/>
  <c r="Q277" i="7" s="1"/>
  <c r="Q278" i="7" s="1"/>
  <c r="Q279" i="7" s="1"/>
  <c r="Q280" i="7" s="1"/>
  <c r="Q281" i="7" s="1"/>
  <c r="Q282" i="7" s="1"/>
  <c r="Q283" i="7" s="1"/>
  <c r="Q284" i="7" s="1"/>
  <c r="Q285" i="7" s="1"/>
  <c r="Q286" i="7" s="1"/>
  <c r="Q287" i="7" s="1"/>
  <c r="Q288" i="7" s="1"/>
  <c r="Q289" i="7" s="1"/>
  <c r="Q290" i="7" s="1"/>
  <c r="Q291" i="7" s="1"/>
  <c r="Q292" i="7" s="1"/>
  <c r="Q293" i="7" s="1"/>
  <c r="Q294" i="7" s="1"/>
  <c r="Q295" i="7" s="1"/>
  <c r="Q296" i="7" s="1"/>
  <c r="Q297" i="7" s="1"/>
  <c r="Q298" i="7" s="1"/>
  <c r="Q299" i="7" s="1"/>
  <c r="Q300" i="7" s="1"/>
  <c r="Q301" i="7" s="1"/>
  <c r="Q302" i="7" s="1"/>
  <c r="Q303" i="7" s="1"/>
  <c r="Q304" i="7" s="1"/>
  <c r="Q305" i="7" s="1"/>
  <c r="Q306" i="7" s="1"/>
  <c r="Q307" i="7" s="1"/>
  <c r="Q308" i="7" s="1"/>
  <c r="Q309" i="7" s="1"/>
  <c r="Q310" i="7" s="1"/>
  <c r="Q311" i="7" s="1"/>
  <c r="Q312" i="7" s="1"/>
  <c r="Q313" i="7" s="1"/>
  <c r="Q314" i="7" s="1"/>
  <c r="Q315" i="7" s="1"/>
  <c r="Q316" i="7" s="1"/>
  <c r="Q317" i="7" s="1"/>
  <c r="Q318" i="7" s="1"/>
  <c r="Q319" i="7" s="1"/>
  <c r="Q320" i="7" s="1"/>
  <c r="Q321" i="7" s="1"/>
  <c r="Q322" i="7" s="1"/>
  <c r="Q323" i="7" s="1"/>
  <c r="Q324" i="7" s="1"/>
  <c r="Q325" i="7" s="1"/>
  <c r="Q326" i="7" s="1"/>
  <c r="Q327" i="7" s="1"/>
  <c r="Q328" i="7" s="1"/>
  <c r="Q329" i="7" s="1"/>
  <c r="Q330" i="7" s="1"/>
  <c r="Q331" i="7" s="1"/>
  <c r="Q332" i="7" s="1"/>
  <c r="Q333" i="7" s="1"/>
  <c r="Q334" i="7" s="1"/>
  <c r="Q335" i="7" s="1"/>
  <c r="Q336" i="7" s="1"/>
  <c r="Q337" i="7" s="1"/>
  <c r="Q338" i="7" s="1"/>
  <c r="Q339" i="7" s="1"/>
  <c r="Q340" i="7" s="1"/>
  <c r="Q341" i="7" s="1"/>
  <c r="Q342" i="7" s="1"/>
  <c r="Q343" i="7" s="1"/>
  <c r="Q344" i="7" s="1"/>
  <c r="Q345" i="7" s="1"/>
  <c r="Q346" i="7" s="1"/>
  <c r="Q347" i="7" s="1"/>
  <c r="Q348" i="7" s="1"/>
  <c r="Q349" i="7" s="1"/>
  <c r="Q350" i="7" s="1"/>
  <c r="Q351" i="7" s="1"/>
  <c r="Q352" i="7" s="1"/>
  <c r="Q353" i="7" s="1"/>
  <c r="Q354" i="7" s="1"/>
  <c r="Q355" i="7" s="1"/>
  <c r="Q356" i="7" s="1"/>
  <c r="Q357" i="7" s="1"/>
  <c r="Q358" i="7" s="1"/>
  <c r="Q359" i="7" s="1"/>
  <c r="Q360" i="7" s="1"/>
  <c r="Q361" i="7" s="1"/>
  <c r="Q362" i="7" s="1"/>
  <c r="Q363" i="7" s="1"/>
  <c r="Q364" i="7" s="1"/>
  <c r="Q365" i="7" s="1"/>
  <c r="Q366" i="7" s="1"/>
  <c r="Q367" i="7" s="1"/>
  <c r="Q368" i="7" s="1"/>
  <c r="Q369" i="7" s="1"/>
  <c r="Q370" i="7" s="1"/>
  <c r="Q371" i="7" s="1"/>
  <c r="Q372" i="7" s="1"/>
  <c r="Q373" i="7" s="1"/>
  <c r="Q374" i="7" s="1"/>
  <c r="Q375" i="7" s="1"/>
  <c r="Q376" i="7" s="1"/>
  <c r="Q377" i="7" s="1"/>
  <c r="Q378" i="7" s="1"/>
  <c r="Q379" i="7" s="1"/>
  <c r="Q380" i="7" s="1"/>
  <c r="Q381" i="7" s="1"/>
  <c r="Q382" i="7" s="1"/>
  <c r="Q383" i="7" s="1"/>
  <c r="Q384" i="7" s="1"/>
  <c r="Q385" i="7" s="1"/>
  <c r="Q386" i="7" s="1"/>
  <c r="Q387" i="7" s="1"/>
  <c r="Q388" i="7" s="1"/>
  <c r="Q389" i="7" s="1"/>
  <c r="Q390" i="7" s="1"/>
  <c r="Q391" i="7" s="1"/>
  <c r="Q392" i="7" s="1"/>
  <c r="Q393" i="7" s="1"/>
  <c r="Q394" i="7" s="1"/>
  <c r="Q395" i="7" s="1"/>
  <c r="Q396" i="7" s="1"/>
  <c r="Q397" i="7" s="1"/>
  <c r="Q398" i="7" s="1"/>
  <c r="Q399" i="7" s="1"/>
  <c r="Q400" i="7" s="1"/>
  <c r="Q401" i="7" s="1"/>
  <c r="Q402" i="7" s="1"/>
  <c r="Q403" i="7" s="1"/>
  <c r="Q404" i="7" s="1"/>
  <c r="Q405" i="7" s="1"/>
  <c r="Q406" i="7" s="1"/>
  <c r="Q407" i="7" s="1"/>
  <c r="Q408" i="7" s="1"/>
  <c r="Q409" i="7" s="1"/>
  <c r="Q410" i="7" s="1"/>
  <c r="Q411" i="7" s="1"/>
  <c r="Q412" i="7" s="1"/>
  <c r="Q413" i="7" s="1"/>
  <c r="Q414" i="7" s="1"/>
  <c r="Q415" i="7" s="1"/>
  <c r="Q416" i="7" s="1"/>
  <c r="Q417" i="7" s="1"/>
  <c r="Q418" i="7" s="1"/>
  <c r="Q419" i="7" s="1"/>
  <c r="Q420" i="7" s="1"/>
  <c r="Q421" i="7" s="1"/>
  <c r="Q422" i="7" s="1"/>
  <c r="Q423" i="7" s="1"/>
  <c r="Q424" i="7" s="1"/>
  <c r="Q425" i="7" s="1"/>
  <c r="Q426" i="7" s="1"/>
  <c r="Q427" i="7" s="1"/>
  <c r="Q428" i="7" s="1"/>
  <c r="Q429" i="7" s="1"/>
  <c r="Q430" i="7" s="1"/>
  <c r="Q431" i="7" s="1"/>
  <c r="Q432" i="7" s="1"/>
  <c r="Q433" i="7" s="1"/>
  <c r="Q434" i="7" s="1"/>
  <c r="Q435" i="7" s="1"/>
  <c r="Q436" i="7" s="1"/>
  <c r="Q437" i="7" s="1"/>
  <c r="Q438" i="7" s="1"/>
  <c r="Q439" i="7" s="1"/>
  <c r="Q440" i="7" s="1"/>
  <c r="Q441" i="7" s="1"/>
  <c r="Q442" i="7" s="1"/>
  <c r="Q443" i="7" s="1"/>
  <c r="Q444" i="7" s="1"/>
  <c r="Q445" i="7" s="1"/>
  <c r="Q446" i="7" s="1"/>
  <c r="Q447" i="7" s="1"/>
  <c r="Q448" i="7" s="1"/>
  <c r="Q449" i="7" s="1"/>
  <c r="Q450" i="7" s="1"/>
  <c r="Q451" i="7" s="1"/>
  <c r="Q452" i="7" s="1"/>
  <c r="Q453" i="7" s="1"/>
  <c r="Q454" i="7" s="1"/>
  <c r="Q455" i="7" s="1"/>
  <c r="Q456" i="7" s="1"/>
  <c r="Q457" i="7" s="1"/>
  <c r="Q458" i="7" s="1"/>
  <c r="Q459" i="7" s="1"/>
  <c r="Q460" i="7" s="1"/>
  <c r="Q461" i="7" s="1"/>
  <c r="Q462" i="7" s="1"/>
  <c r="Q463" i="7" s="1"/>
  <c r="Q464" i="7" s="1"/>
  <c r="Q465" i="7" s="1"/>
  <c r="Q466" i="7" s="1"/>
  <c r="Q467" i="7" s="1"/>
  <c r="Q468" i="7" s="1"/>
  <c r="Q469" i="7" s="1"/>
  <c r="Q470" i="7" s="1"/>
  <c r="Q471" i="7" s="1"/>
  <c r="Q472" i="7" s="1"/>
  <c r="Q473" i="7" s="1"/>
  <c r="Q474" i="7" s="1"/>
  <c r="Q475" i="7" s="1"/>
  <c r="Q476" i="7" s="1"/>
  <c r="Q477" i="7" s="1"/>
  <c r="Q478" i="7" s="1"/>
  <c r="Q479" i="7" s="1"/>
  <c r="Q480" i="7" s="1"/>
  <c r="Q481" i="7" s="1"/>
  <c r="Q482" i="7" s="1"/>
  <c r="Q483" i="7" s="1"/>
  <c r="Q484" i="7" s="1"/>
  <c r="Q485" i="7" s="1"/>
  <c r="Q486" i="7" s="1"/>
  <c r="Q487" i="7" s="1"/>
  <c r="Q488" i="7" s="1"/>
  <c r="Q489" i="7" s="1"/>
  <c r="Q490" i="7" s="1"/>
  <c r="Q491" i="7" s="1"/>
  <c r="Q492" i="7" s="1"/>
  <c r="Q493" i="7" s="1"/>
  <c r="Q494" i="7" s="1"/>
  <c r="Q495" i="7" s="1"/>
  <c r="Q496" i="7" s="1"/>
  <c r="Q497" i="7" s="1"/>
  <c r="Q498" i="7" s="1"/>
  <c r="Q499" i="7" s="1"/>
  <c r="Q500" i="7" s="1"/>
  <c r="Q501" i="7" s="1"/>
  <c r="Q502" i="7" s="1"/>
  <c r="Q503" i="7" s="1"/>
  <c r="Q504" i="7" s="1"/>
  <c r="Q505" i="7" s="1"/>
  <c r="Q506" i="7" s="1"/>
  <c r="Q507" i="7" s="1"/>
  <c r="Q508" i="7" s="1"/>
  <c r="Q509" i="7" s="1"/>
  <c r="Q510" i="7" s="1"/>
  <c r="Q511" i="7" s="1"/>
  <c r="Q512" i="7" s="1"/>
  <c r="Q513" i="7" s="1"/>
  <c r="Q514" i="7" s="1"/>
  <c r="Q515" i="7" s="1"/>
  <c r="Q516" i="7" s="1"/>
  <c r="Q517" i="7" s="1"/>
  <c r="Q518" i="7" s="1"/>
  <c r="Q519" i="7" s="1"/>
  <c r="Q520" i="7" s="1"/>
  <c r="Q521" i="7" s="1"/>
  <c r="Q522" i="7" s="1"/>
  <c r="Q523" i="7" s="1"/>
  <c r="Q524" i="7" s="1"/>
  <c r="Q525" i="7" s="1"/>
  <c r="Q526" i="7" s="1"/>
  <c r="Q527" i="7" s="1"/>
  <c r="Q528" i="7" s="1"/>
  <c r="Q529" i="7" s="1"/>
  <c r="Q530" i="7" s="1"/>
  <c r="Q531" i="7" s="1"/>
  <c r="Q532" i="7" s="1"/>
  <c r="Q533" i="7" s="1"/>
  <c r="Q534" i="7" s="1"/>
  <c r="Q535" i="7" s="1"/>
  <c r="Q536" i="7" s="1"/>
  <c r="Q537" i="7" s="1"/>
  <c r="Q538" i="7" s="1"/>
  <c r="Q539" i="7" s="1"/>
  <c r="Q540" i="7" s="1"/>
  <c r="Q541" i="7" s="1"/>
  <c r="Q542" i="7" s="1"/>
  <c r="Q543" i="7" s="1"/>
  <c r="Q544" i="7" s="1"/>
  <c r="Q545" i="7" s="1"/>
  <c r="Q546" i="7" s="1"/>
  <c r="Q547" i="7" s="1"/>
  <c r="Q548" i="7" s="1"/>
  <c r="Q549" i="7" s="1"/>
  <c r="Q550" i="7" s="1"/>
  <c r="Q551" i="7" s="1"/>
  <c r="Q552" i="7" s="1"/>
  <c r="Q553" i="7" s="1"/>
  <c r="Q554" i="7" s="1"/>
  <c r="Q555" i="7" s="1"/>
  <c r="Q556" i="7" s="1"/>
  <c r="Q557" i="7" s="1"/>
  <c r="Q558" i="7" s="1"/>
  <c r="Q559" i="7" s="1"/>
  <c r="Q560" i="7" s="1"/>
  <c r="Q561" i="7" s="1"/>
  <c r="Q562" i="7" s="1"/>
  <c r="Q563" i="7" s="1"/>
  <c r="Q564" i="7" s="1"/>
  <c r="Q565" i="7" s="1"/>
  <c r="Q566" i="7" s="1"/>
  <c r="Q567" i="7" s="1"/>
  <c r="Q568" i="7" s="1"/>
  <c r="Q569" i="7" s="1"/>
  <c r="Q570" i="7" s="1"/>
  <c r="Q571" i="7" s="1"/>
  <c r="Q572" i="7" s="1"/>
  <c r="Q573" i="7" s="1"/>
  <c r="Q574" i="7" s="1"/>
  <c r="Q575" i="7" s="1"/>
  <c r="Q576" i="7" s="1"/>
  <c r="Q577" i="7" s="1"/>
  <c r="Q578" i="7" s="1"/>
  <c r="Q579" i="7" s="1"/>
  <c r="Q580" i="7" s="1"/>
  <c r="Q581" i="7" s="1"/>
  <c r="Q582" i="7" s="1"/>
  <c r="Q583" i="7" s="1"/>
  <c r="Q584" i="7" s="1"/>
  <c r="Q585" i="7" s="1"/>
  <c r="Q586" i="7" s="1"/>
  <c r="Q587" i="7" s="1"/>
  <c r="Q588" i="7" s="1"/>
  <c r="Q589" i="7" s="1"/>
  <c r="Q590" i="7" s="1"/>
  <c r="Q591" i="7" s="1"/>
  <c r="Q592" i="7" s="1"/>
  <c r="Q593" i="7" s="1"/>
  <c r="Q594" i="7" s="1"/>
  <c r="Q595" i="7" s="1"/>
  <c r="Q596" i="7" s="1"/>
  <c r="Q597" i="7" s="1"/>
  <c r="Q598" i="7" s="1"/>
  <c r="Q599" i="7" s="1"/>
  <c r="Q600" i="7" s="1"/>
  <c r="Q601" i="7" s="1"/>
  <c r="Q602" i="7" s="1"/>
  <c r="Q603" i="7" s="1"/>
  <c r="Q604" i="7" s="1"/>
  <c r="Q605" i="7" s="1"/>
  <c r="Q606" i="7" s="1"/>
  <c r="Q607" i="7" s="1"/>
  <c r="Q608" i="7" s="1"/>
  <c r="Q609" i="7" s="1"/>
  <c r="Q610" i="7" s="1"/>
  <c r="Q611" i="7" s="1"/>
  <c r="Q612" i="7" s="1"/>
  <c r="Q613" i="7" s="1"/>
  <c r="Q614" i="7" s="1"/>
  <c r="Q615" i="7" s="1"/>
  <c r="Q616" i="7" s="1"/>
  <c r="Q617" i="7" s="1"/>
  <c r="Q618" i="7" s="1"/>
  <c r="Q619" i="7" s="1"/>
  <c r="Q620" i="7" s="1"/>
  <c r="Q621" i="7" s="1"/>
  <c r="Q622" i="7" s="1"/>
  <c r="Q623" i="7" s="1"/>
  <c r="Q624" i="7" s="1"/>
  <c r="Q625" i="7" s="1"/>
  <c r="Q626" i="7" s="1"/>
  <c r="Q627" i="7" s="1"/>
  <c r="Q628" i="7" s="1"/>
  <c r="Q629" i="7" s="1"/>
  <c r="Q630" i="7" s="1"/>
  <c r="Q631" i="7" s="1"/>
  <c r="Q632" i="7" s="1"/>
  <c r="Q633" i="7" s="1"/>
  <c r="Q634" i="7" s="1"/>
  <c r="Q635" i="7" s="1"/>
  <c r="Q636" i="7" s="1"/>
  <c r="Q637" i="7" s="1"/>
  <c r="Q638" i="7" s="1"/>
  <c r="Q639" i="7" s="1"/>
  <c r="Q640" i="7" s="1"/>
  <c r="Q641" i="7" s="1"/>
  <c r="Q642" i="7" s="1"/>
  <c r="Q643" i="7" s="1"/>
  <c r="Q644" i="7" s="1"/>
  <c r="Q645" i="7" s="1"/>
  <c r="Q646" i="7" s="1"/>
  <c r="Q647" i="7" s="1"/>
  <c r="Q648" i="7" s="1"/>
  <c r="Q649" i="7" s="1"/>
  <c r="Q650" i="7" s="1"/>
  <c r="Q651" i="7" s="1"/>
  <c r="Q652" i="7" s="1"/>
  <c r="Q653" i="7" s="1"/>
  <c r="Q654" i="7" s="1"/>
  <c r="Q655" i="7" s="1"/>
  <c r="Q656" i="7" s="1"/>
  <c r="Q657" i="7" s="1"/>
  <c r="Q658" i="7" s="1"/>
  <c r="Q659" i="7" s="1"/>
  <c r="Q660" i="7" s="1"/>
  <c r="Q661" i="7" s="1"/>
  <c r="Q662" i="7" s="1"/>
  <c r="Q663" i="7" s="1"/>
  <c r="Q664" i="7" s="1"/>
  <c r="Q665" i="7" s="1"/>
  <c r="Q666" i="7" s="1"/>
  <c r="Q667" i="7" s="1"/>
  <c r="Q668" i="7" s="1"/>
  <c r="Q669" i="7" s="1"/>
  <c r="Q670" i="7" s="1"/>
  <c r="Q671" i="7" s="1"/>
  <c r="Q672" i="7" s="1"/>
  <c r="Q673" i="7" s="1"/>
  <c r="Q674" i="7" s="1"/>
  <c r="Q675" i="7" s="1"/>
  <c r="Q676" i="7" s="1"/>
  <c r="Q677" i="7" s="1"/>
  <c r="Q678" i="7" s="1"/>
  <c r="Q679" i="7" s="1"/>
  <c r="Q680" i="7" s="1"/>
  <c r="Q681" i="7" s="1"/>
  <c r="Q682" i="7" s="1"/>
  <c r="Q683" i="7" s="1"/>
  <c r="Q684" i="7" s="1"/>
  <c r="Q685" i="7" s="1"/>
  <c r="Q686" i="7" s="1"/>
  <c r="Q687" i="7" s="1"/>
  <c r="Q688" i="7" s="1"/>
  <c r="Q689" i="7" s="1"/>
  <c r="Q690" i="7" s="1"/>
  <c r="Q691" i="7" s="1"/>
  <c r="Q692" i="7" s="1"/>
  <c r="Q693" i="7" s="1"/>
  <c r="Q694" i="7" s="1"/>
  <c r="Q695" i="7" s="1"/>
  <c r="Q696" i="7" s="1"/>
  <c r="Q697" i="7" s="1"/>
  <c r="Q698" i="7" s="1"/>
  <c r="Q699" i="7" s="1"/>
  <c r="Q700" i="7" s="1"/>
  <c r="Q701" i="7" s="1"/>
  <c r="Q702" i="7" s="1"/>
  <c r="Q703" i="7" s="1"/>
  <c r="Q704" i="7" s="1"/>
  <c r="Q705" i="7" s="1"/>
  <c r="Q706" i="7" s="1"/>
  <c r="Q707" i="7" s="1"/>
  <c r="Q708" i="7" s="1"/>
  <c r="Q709" i="7" s="1"/>
  <c r="Q710" i="7" s="1"/>
  <c r="Q711" i="7" s="1"/>
  <c r="Q712" i="7" s="1"/>
  <c r="Q713" i="7" s="1"/>
  <c r="Q714" i="7" s="1"/>
  <c r="Q715" i="7" s="1"/>
  <c r="Q716" i="7" s="1"/>
  <c r="Q717" i="7" s="1"/>
  <c r="Q718" i="7" s="1"/>
  <c r="Q719" i="7" s="1"/>
  <c r="Q720" i="7" s="1"/>
  <c r="Q721" i="7" s="1"/>
  <c r="Q722" i="7" s="1"/>
  <c r="Q723" i="7" s="1"/>
  <c r="Q724" i="7" s="1"/>
  <c r="Q725" i="7" s="1"/>
  <c r="Q726" i="7" s="1"/>
  <c r="Q727" i="7" s="1"/>
  <c r="Q728" i="7" s="1"/>
  <c r="Q729" i="7" s="1"/>
  <c r="Q730" i="7" s="1"/>
  <c r="Q731" i="7" s="1"/>
  <c r="Q732" i="7" s="1"/>
  <c r="Q733" i="7" s="1"/>
  <c r="Q734" i="7" s="1"/>
  <c r="Q735" i="7" s="1"/>
  <c r="Q736" i="7" s="1"/>
  <c r="Q737" i="7" s="1"/>
  <c r="Q738" i="7" s="1"/>
  <c r="Q739" i="7" s="1"/>
  <c r="Q740" i="7" s="1"/>
  <c r="Q741" i="7" s="1"/>
  <c r="Q742" i="7" s="1"/>
  <c r="Q743" i="7" s="1"/>
  <c r="Q744" i="7" s="1"/>
  <c r="Q745" i="7" s="1"/>
  <c r="Q746" i="7" s="1"/>
  <c r="Q747" i="7" s="1"/>
  <c r="Q748" i="7" s="1"/>
  <c r="Q749" i="7" s="1"/>
  <c r="Q750" i="7" s="1"/>
  <c r="Q751" i="7" s="1"/>
  <c r="Q752" i="7" s="1"/>
  <c r="Q753" i="7" s="1"/>
  <c r="Q754" i="7" s="1"/>
  <c r="Q755" i="7" s="1"/>
  <c r="Q756" i="7" s="1"/>
  <c r="Q757" i="7" s="1"/>
  <c r="Q758" i="7" s="1"/>
  <c r="Q759" i="7" s="1"/>
  <c r="Q760" i="7" s="1"/>
  <c r="Q761" i="7" s="1"/>
  <c r="Q762" i="7" s="1"/>
  <c r="Q763" i="7" s="1"/>
  <c r="Q764" i="7" s="1"/>
  <c r="Q765" i="7" s="1"/>
  <c r="Q766" i="7" s="1"/>
  <c r="Q767" i="7" s="1"/>
  <c r="Q768" i="7" s="1"/>
  <c r="Q769" i="7" s="1"/>
  <c r="Q770" i="7" s="1"/>
  <c r="Q771" i="7" s="1"/>
  <c r="Q772" i="7" s="1"/>
  <c r="Q773" i="7" s="1"/>
  <c r="Q774" i="7" s="1"/>
  <c r="Q775" i="7" s="1"/>
  <c r="Q776" i="7" s="1"/>
  <c r="Q777" i="7" s="1"/>
  <c r="Q778" i="7" s="1"/>
  <c r="Q779" i="7" s="1"/>
  <c r="Q780" i="7" s="1"/>
  <c r="Q781" i="7" s="1"/>
  <c r="Q782" i="7" s="1"/>
  <c r="Q783" i="7" s="1"/>
  <c r="Q784" i="7" s="1"/>
  <c r="Q785" i="7" s="1"/>
  <c r="Q786" i="7" s="1"/>
  <c r="Q787" i="7" s="1"/>
  <c r="Q788" i="7" s="1"/>
  <c r="Q789" i="7" s="1"/>
  <c r="Q790" i="7" s="1"/>
  <c r="Q791" i="7" s="1"/>
  <c r="Q792" i="7" s="1"/>
  <c r="Q793" i="7" s="1"/>
  <c r="Q794" i="7" s="1"/>
  <c r="Q795" i="7" s="1"/>
  <c r="Q796" i="7" s="1"/>
  <c r="Q797" i="7" s="1"/>
  <c r="Q798" i="7" s="1"/>
  <c r="Q799" i="7" s="1"/>
  <c r="Q800" i="7" s="1"/>
  <c r="Q801" i="7" s="1"/>
  <c r="Q802" i="7" s="1"/>
  <c r="Q803" i="7" s="1"/>
  <c r="Q804" i="7" s="1"/>
  <c r="Q805" i="7" s="1"/>
  <c r="Q806" i="7" s="1"/>
  <c r="Q807" i="7" s="1"/>
  <c r="Q808" i="7" s="1"/>
  <c r="Q809" i="7" s="1"/>
  <c r="Q810" i="7" s="1"/>
  <c r="Q811" i="7" s="1"/>
  <c r="Q812" i="7" s="1"/>
  <c r="Q813" i="7" s="1"/>
  <c r="Q814" i="7" s="1"/>
  <c r="Q815" i="7" s="1"/>
  <c r="Q816" i="7" s="1"/>
  <c r="Q817" i="7" s="1"/>
  <c r="Q818" i="7" s="1"/>
  <c r="Q819" i="7" s="1"/>
  <c r="Q820" i="7" s="1"/>
  <c r="Q821" i="7" s="1"/>
  <c r="Q822" i="7" s="1"/>
  <c r="Q823" i="7" s="1"/>
  <c r="Q824" i="7" s="1"/>
  <c r="Q825" i="7" s="1"/>
  <c r="Q826" i="7" s="1"/>
  <c r="Q827" i="7" s="1"/>
  <c r="Q828" i="7" s="1"/>
  <c r="Q829" i="7" s="1"/>
  <c r="Q830" i="7" s="1"/>
  <c r="Q831" i="7" s="1"/>
  <c r="Q832" i="7" s="1"/>
  <c r="Q833" i="7" s="1"/>
  <c r="Q834" i="7" s="1"/>
  <c r="Q835" i="7" s="1"/>
  <c r="Q836" i="7" s="1"/>
  <c r="Q837" i="7" s="1"/>
  <c r="Q838" i="7" s="1"/>
  <c r="Q839" i="7" s="1"/>
  <c r="Q840" i="7" s="1"/>
  <c r="Q841" i="7" s="1"/>
  <c r="Q842" i="7" s="1"/>
  <c r="Q843" i="7" s="1"/>
  <c r="Q844" i="7" s="1"/>
  <c r="Q845" i="7" s="1"/>
  <c r="Q846" i="7" s="1"/>
  <c r="Q847" i="7" s="1"/>
  <c r="Q848" i="7" s="1"/>
  <c r="Q849" i="7" s="1"/>
  <c r="Q850" i="7" s="1"/>
  <c r="Q851" i="7" s="1"/>
  <c r="Q852" i="7" s="1"/>
  <c r="Q853" i="7" s="1"/>
  <c r="Q854" i="7" s="1"/>
  <c r="Q855" i="7" s="1"/>
  <c r="Q856" i="7" s="1"/>
  <c r="Q857" i="7" s="1"/>
  <c r="Q858" i="7" s="1"/>
  <c r="Q859" i="7" s="1"/>
  <c r="Q860" i="7" s="1"/>
  <c r="Q861" i="7" s="1"/>
  <c r="Q862" i="7" s="1"/>
  <c r="Q863" i="7" s="1"/>
  <c r="Q864" i="7" s="1"/>
  <c r="Q865" i="7" s="1"/>
  <c r="Q866" i="7" s="1"/>
  <c r="Q867" i="7" s="1"/>
  <c r="Q868" i="7" s="1"/>
  <c r="Q869" i="7" s="1"/>
  <c r="Q870" i="7" s="1"/>
  <c r="Q871" i="7" s="1"/>
  <c r="Q872" i="7" s="1"/>
  <c r="Q873" i="7" s="1"/>
  <c r="Q874" i="7" s="1"/>
  <c r="Q875" i="7" s="1"/>
  <c r="Q876" i="7" s="1"/>
  <c r="Q877" i="7" s="1"/>
  <c r="Q878" i="7" s="1"/>
  <c r="Q879" i="7" s="1"/>
  <c r="Q880" i="7" s="1"/>
  <c r="Q881" i="7" s="1"/>
  <c r="Q882" i="7" s="1"/>
  <c r="Q883" i="7" s="1"/>
  <c r="Q884" i="7" s="1"/>
  <c r="Q885" i="7" s="1"/>
  <c r="Q886" i="7" s="1"/>
  <c r="Q887" i="7" s="1"/>
  <c r="Q888" i="7" s="1"/>
  <c r="Q889" i="7" s="1"/>
  <c r="Q890" i="7" s="1"/>
  <c r="Q891" i="7" s="1"/>
  <c r="Q892" i="7" s="1"/>
  <c r="Q893" i="7" s="1"/>
  <c r="Q894" i="7" s="1"/>
  <c r="Q895" i="7" s="1"/>
  <c r="Q896" i="7" s="1"/>
  <c r="Q897" i="7" s="1"/>
  <c r="Q898" i="7" s="1"/>
  <c r="Q899" i="7" s="1"/>
  <c r="Q900" i="7" s="1"/>
  <c r="Q901" i="7" s="1"/>
  <c r="Q902" i="7" s="1"/>
  <c r="Q903" i="7" s="1"/>
  <c r="Q904" i="7" s="1"/>
  <c r="Q905" i="7" s="1"/>
  <c r="Q906" i="7" s="1"/>
  <c r="Q907" i="7" s="1"/>
  <c r="Q908" i="7" s="1"/>
  <c r="Q909" i="7" s="1"/>
  <c r="Q910" i="7" s="1"/>
  <c r="Q911" i="7" s="1"/>
  <c r="Q912" i="7" s="1"/>
  <c r="Q913" i="7" s="1"/>
  <c r="Q914" i="7" s="1"/>
  <c r="Q915" i="7" s="1"/>
  <c r="Q916" i="7" s="1"/>
  <c r="Q917" i="7" s="1"/>
  <c r="Q918" i="7" s="1"/>
  <c r="Q919" i="7" s="1"/>
  <c r="Q920" i="7" s="1"/>
  <c r="Q921" i="7" s="1"/>
  <c r="Q922" i="7" s="1"/>
  <c r="Q923" i="7" s="1"/>
  <c r="Q924" i="7" s="1"/>
  <c r="Q925" i="7" s="1"/>
  <c r="Q926" i="7" s="1"/>
  <c r="Q927" i="7" s="1"/>
  <c r="Q928" i="7" s="1"/>
  <c r="Q929" i="7" s="1"/>
  <c r="Q930" i="7" s="1"/>
  <c r="Q931" i="7" s="1"/>
  <c r="Q932" i="7" s="1"/>
  <c r="Q933" i="7" s="1"/>
  <c r="Q934" i="7" s="1"/>
  <c r="Q935" i="7" s="1"/>
  <c r="Q936" i="7" s="1"/>
  <c r="Q937" i="7" s="1"/>
  <c r="Q938" i="7" s="1"/>
  <c r="Q939" i="7" s="1"/>
  <c r="Q940" i="7" s="1"/>
  <c r="Q941" i="7" s="1"/>
  <c r="Q942" i="7" s="1"/>
  <c r="Q943" i="7" s="1"/>
  <c r="Q944" i="7" s="1"/>
  <c r="Q945" i="7" s="1"/>
  <c r="Q946" i="7" s="1"/>
  <c r="Q947" i="7" s="1"/>
  <c r="Q948" i="7" s="1"/>
  <c r="Q949" i="7" s="1"/>
  <c r="Q950" i="7" s="1"/>
  <c r="Q951" i="7" s="1"/>
  <c r="Q952" i="7" s="1"/>
  <c r="Q953" i="7" s="1"/>
  <c r="Q954" i="7" s="1"/>
  <c r="Q955" i="7" s="1"/>
  <c r="Q956" i="7" s="1"/>
  <c r="Q957" i="7" s="1"/>
  <c r="Q958" i="7" s="1"/>
  <c r="Q959" i="7" s="1"/>
  <c r="Q960" i="7" s="1"/>
  <c r="Q961" i="7" s="1"/>
  <c r="Q962" i="7" s="1"/>
  <c r="Q963" i="7" s="1"/>
  <c r="Q964" i="7" s="1"/>
  <c r="Q965" i="7" s="1"/>
  <c r="Q966" i="7" s="1"/>
  <c r="Q967" i="7" s="1"/>
  <c r="Q968" i="7" s="1"/>
  <c r="Q969" i="7" s="1"/>
  <c r="Q970" i="7" s="1"/>
  <c r="Q971" i="7" s="1"/>
  <c r="Q972" i="7" s="1"/>
  <c r="Q973" i="7" s="1"/>
  <c r="Q974" i="7" s="1"/>
  <c r="Q975" i="7" s="1"/>
  <c r="Q976" i="7" s="1"/>
  <c r="Q977" i="7" s="1"/>
  <c r="Q978" i="7" s="1"/>
  <c r="Q979" i="7" s="1"/>
  <c r="Q980" i="7" s="1"/>
  <c r="Q981" i="7" s="1"/>
  <c r="Q982" i="7" s="1"/>
  <c r="Q983" i="7" s="1"/>
  <c r="Q984" i="7" s="1"/>
  <c r="Q985" i="7" s="1"/>
  <c r="Q986" i="7" s="1"/>
  <c r="Q987" i="7" s="1"/>
  <c r="Q988" i="7" s="1"/>
  <c r="Q989" i="7" s="1"/>
  <c r="Q990" i="7" s="1"/>
  <c r="Q991" i="7" s="1"/>
  <c r="Q992" i="7" s="1"/>
  <c r="Q993" i="7" s="1"/>
  <c r="Q994" i="7" s="1"/>
  <c r="Q995" i="7" s="1"/>
  <c r="Q996" i="7" s="1"/>
  <c r="Q997" i="7" s="1"/>
  <c r="Q998" i="7" s="1"/>
  <c r="Q999" i="7" s="1"/>
  <c r="Q1000" i="7" s="1"/>
  <c r="Q1001" i="7" s="1"/>
  <c r="Q1002" i="7" s="1"/>
  <c r="Q1003" i="7" s="1"/>
  <c r="Q1004" i="7" s="1"/>
  <c r="Q1005" i="7" s="1"/>
  <c r="Q1006" i="7" s="1"/>
  <c r="Q1007" i="7" s="1"/>
  <c r="Q1008" i="7" s="1"/>
  <c r="Q1009" i="7" s="1"/>
  <c r="Q1010" i="7" s="1"/>
  <c r="Q1011" i="7" s="1"/>
  <c r="Q1012" i="7" s="1"/>
  <c r="Q1013" i="7" s="1"/>
  <c r="Q1014" i="7" s="1"/>
  <c r="Q1015" i="7" s="1"/>
  <c r="Q1016" i="7" s="1"/>
  <c r="Q1017" i="7" s="1"/>
  <c r="Q1018" i="7" s="1"/>
  <c r="Q1019" i="7" s="1"/>
  <c r="Q1020" i="7" s="1"/>
  <c r="Q1021" i="7" s="1"/>
  <c r="Q1022" i="7" s="1"/>
  <c r="Q1023" i="7" s="1"/>
  <c r="Q1024" i="7" s="1"/>
  <c r="Q1025" i="7" s="1"/>
  <c r="Q1026" i="7" s="1"/>
  <c r="Q1027" i="7" s="1"/>
  <c r="Q1028" i="7" s="1"/>
  <c r="Q1029" i="7" s="1"/>
  <c r="Q1030" i="7" s="1"/>
  <c r="Q1031" i="7" s="1"/>
  <c r="Q1032" i="7" s="1"/>
  <c r="Q1033" i="7" s="1"/>
  <c r="Q1034" i="7" s="1"/>
  <c r="Q1035" i="7" s="1"/>
  <c r="Q1036" i="7" s="1"/>
  <c r="Q1037" i="7" s="1"/>
  <c r="Q1038" i="7" s="1"/>
  <c r="Q1039" i="7" s="1"/>
  <c r="Q1040" i="7" s="1"/>
  <c r="Q1041" i="7" s="1"/>
  <c r="Q1042" i="7" s="1"/>
  <c r="Q1043" i="7" s="1"/>
  <c r="Q1044" i="7" s="1"/>
  <c r="Q1045" i="7" s="1"/>
  <c r="Q1046" i="7" s="1"/>
  <c r="Q1047" i="7" s="1"/>
  <c r="Q1048" i="7" s="1"/>
  <c r="Q1049" i="7" s="1"/>
  <c r="Q1050" i="7" s="1"/>
  <c r="Q1051" i="7" s="1"/>
  <c r="Q1052" i="7" s="1"/>
  <c r="Q1053" i="7" s="1"/>
  <c r="Q1054" i="7" s="1"/>
  <c r="Q1055" i="7" s="1"/>
  <c r="Q1056" i="7" s="1"/>
  <c r="Q1057" i="7" s="1"/>
  <c r="Q1058" i="7" s="1"/>
  <c r="Q1059" i="7" s="1"/>
  <c r="Q1060" i="7" s="1"/>
  <c r="Q1061" i="7" s="1"/>
  <c r="Q1062" i="7" s="1"/>
  <c r="Q1063" i="7" s="1"/>
  <c r="Q1064" i="7" s="1"/>
  <c r="Q1065" i="7" s="1"/>
  <c r="Q1066" i="7" s="1"/>
  <c r="Q1067" i="7" s="1"/>
  <c r="Q1068" i="7" s="1"/>
  <c r="Q1069" i="7" s="1"/>
  <c r="Q1070" i="7" s="1"/>
  <c r="Q1071" i="7" s="1"/>
  <c r="Q1072" i="7" s="1"/>
  <c r="Q1073" i="7" s="1"/>
  <c r="Q1074" i="7" s="1"/>
  <c r="Q1075" i="7" s="1"/>
  <c r="Q1076" i="7" s="1"/>
  <c r="Q1077" i="7" s="1"/>
  <c r="Q1078" i="7" s="1"/>
  <c r="Q1079" i="7" s="1"/>
  <c r="Q1080" i="7" s="1"/>
  <c r="Q1081" i="7" s="1"/>
  <c r="Q1082" i="7" s="1"/>
  <c r="Q1083" i="7" s="1"/>
  <c r="Q1084" i="7" s="1"/>
  <c r="Q1085" i="7" s="1"/>
  <c r="Q1086" i="7" s="1"/>
  <c r="Q1087" i="7" s="1"/>
  <c r="Q1088" i="7" s="1"/>
  <c r="Q1089" i="7" s="1"/>
  <c r="Q1090" i="7" s="1"/>
  <c r="Q1091" i="7" s="1"/>
  <c r="Q1092" i="7" s="1"/>
  <c r="Q1093" i="7" s="1"/>
  <c r="Q1094" i="7" s="1"/>
  <c r="Q1095" i="7" s="1"/>
  <c r="Q1096" i="7" s="1"/>
  <c r="Q1097" i="7" s="1"/>
  <c r="Q1098" i="7" s="1"/>
  <c r="Q1099" i="7" s="1"/>
  <c r="Q1100" i="7" s="1"/>
  <c r="Q1101" i="7" s="1"/>
  <c r="Q1102" i="7" s="1"/>
  <c r="Q1103" i="7" s="1"/>
  <c r="Q1104" i="7" s="1"/>
  <c r="Q1105" i="7" s="1"/>
  <c r="Q1106" i="7" s="1"/>
  <c r="Q1107" i="7" s="1"/>
  <c r="Q1108" i="7" s="1"/>
  <c r="Q1109" i="7" s="1"/>
  <c r="Q1110" i="7" s="1"/>
  <c r="Q1111" i="7" s="1"/>
  <c r="Q1112" i="7" s="1"/>
  <c r="Q1113" i="7" s="1"/>
  <c r="Q1114" i="7" s="1"/>
  <c r="Q1115" i="7" s="1"/>
  <c r="Q1116" i="7" s="1"/>
  <c r="Q1117" i="7" s="1"/>
  <c r="Q1118" i="7" s="1"/>
  <c r="Q1119" i="7" s="1"/>
  <c r="Q1120" i="7" s="1"/>
  <c r="Q1121" i="7" s="1"/>
  <c r="Q1122" i="7" s="1"/>
  <c r="Q1123" i="7" s="1"/>
  <c r="Q1124" i="7" s="1"/>
  <c r="Q1125" i="7" s="1"/>
  <c r="Q1126" i="7" s="1"/>
  <c r="Q1127" i="7" s="1"/>
  <c r="Q1128" i="7" s="1"/>
  <c r="Q1129" i="7" s="1"/>
  <c r="Q1130" i="7" s="1"/>
  <c r="Q1131" i="7" s="1"/>
  <c r="Q1132" i="7" s="1"/>
  <c r="Q1133" i="7" s="1"/>
  <c r="Q1134" i="7" s="1"/>
  <c r="Q1135" i="7" s="1"/>
  <c r="Q1136" i="7" s="1"/>
  <c r="Q1137" i="7" s="1"/>
  <c r="Q1138" i="7" s="1"/>
  <c r="Q1139" i="7" s="1"/>
  <c r="Q1140" i="7" s="1"/>
  <c r="Q1141" i="7" s="1"/>
  <c r="Q1142" i="7" s="1"/>
  <c r="Q1143" i="7" s="1"/>
  <c r="Q1144" i="7" s="1"/>
  <c r="Q1145" i="7" s="1"/>
  <c r="Q1146" i="7" s="1"/>
  <c r="Q1147" i="7" s="1"/>
  <c r="Q1148" i="7" s="1"/>
  <c r="Q1149" i="7" s="1"/>
  <c r="Q1150" i="7" s="1"/>
  <c r="Q1151" i="7" s="1"/>
  <c r="Q1152" i="7" s="1"/>
  <c r="Q1153" i="7" s="1"/>
  <c r="Q1154" i="7" s="1"/>
  <c r="Q1155" i="7" s="1"/>
  <c r="Q1156" i="7" s="1"/>
  <c r="Q1157" i="7" s="1"/>
  <c r="Q1158" i="7" s="1"/>
  <c r="Q1159" i="7" s="1"/>
  <c r="Q1160" i="7" s="1"/>
  <c r="Q1161" i="7" s="1"/>
  <c r="Q1162" i="7" s="1"/>
  <c r="Q1163" i="7" s="1"/>
  <c r="Q1164" i="7" s="1"/>
  <c r="Q1165" i="7" s="1"/>
  <c r="Q1166" i="7" s="1"/>
  <c r="Q1167" i="7" s="1"/>
  <c r="Q1168" i="7" s="1"/>
  <c r="Q1169" i="7" s="1"/>
  <c r="Q1170" i="7" s="1"/>
  <c r="Q1171" i="7" s="1"/>
  <c r="Q1172" i="7" s="1"/>
  <c r="Q1173" i="7" s="1"/>
  <c r="Q1174" i="7" s="1"/>
  <c r="Q1175" i="7" s="1"/>
  <c r="Q1176" i="7" s="1"/>
  <c r="Q1177" i="7" s="1"/>
  <c r="Q1178" i="7" s="1"/>
  <c r="Q1179" i="7" s="1"/>
  <c r="Q1180" i="7" s="1"/>
  <c r="Q1181" i="7" s="1"/>
  <c r="Q1182" i="7" s="1"/>
  <c r="Q1183" i="7" s="1"/>
  <c r="Q1184" i="7" s="1"/>
  <c r="Q1185" i="7" s="1"/>
  <c r="Q1186" i="7" s="1"/>
  <c r="Q1187" i="7" s="1"/>
  <c r="Q1188" i="7" s="1"/>
  <c r="Q1189" i="7" s="1"/>
  <c r="Q1190" i="7" s="1"/>
  <c r="Q1191" i="7" s="1"/>
  <c r="Q1192" i="7" s="1"/>
  <c r="Q1193" i="7" s="1"/>
  <c r="Q1194" i="7" s="1"/>
  <c r="Q1195" i="7" s="1"/>
  <c r="Q1196" i="7" s="1"/>
  <c r="Q1197" i="7" s="1"/>
  <c r="Q1198" i="7" s="1"/>
  <c r="Q1199" i="7" s="1"/>
  <c r="Q1200" i="7" s="1"/>
  <c r="Q1201" i="7" s="1"/>
  <c r="Q1202" i="7" s="1"/>
  <c r="Q1203" i="7" s="1"/>
  <c r="Q1204" i="7" s="1"/>
  <c r="Q1205" i="7" s="1"/>
  <c r="Q1206" i="7" s="1"/>
  <c r="Q1207" i="7" s="1"/>
  <c r="Q1208" i="7" s="1"/>
  <c r="Q1209" i="7" s="1"/>
  <c r="Q1210" i="7" s="1"/>
  <c r="Q1211" i="7" s="1"/>
  <c r="Q1212" i="7" s="1"/>
  <c r="Q1213" i="7" s="1"/>
  <c r="Q1214" i="7" s="1"/>
  <c r="Q1215" i="7" s="1"/>
  <c r="Q1216" i="7" s="1"/>
  <c r="Q1217" i="7" s="1"/>
  <c r="Q1218" i="7" s="1"/>
  <c r="Q1219" i="7" s="1"/>
  <c r="Q1220" i="7" s="1"/>
  <c r="Q1221" i="7" s="1"/>
  <c r="Q1222" i="7" s="1"/>
  <c r="Q1223" i="7" s="1"/>
  <c r="Q1224" i="7" s="1"/>
  <c r="Q1225" i="7" s="1"/>
  <c r="Q1226" i="7" s="1"/>
  <c r="Q1227" i="7" s="1"/>
  <c r="Q1228" i="7" s="1"/>
  <c r="Q1229" i="7" s="1"/>
  <c r="Q1230" i="7" s="1"/>
  <c r="Q1231" i="7" s="1"/>
  <c r="Q1232" i="7" s="1"/>
  <c r="Q1233" i="7" s="1"/>
  <c r="Q1234" i="7" s="1"/>
  <c r="Q1235" i="7" s="1"/>
  <c r="Q1236" i="7" s="1"/>
  <c r="Q1237" i="7" s="1"/>
  <c r="Q1238" i="7" s="1"/>
  <c r="Q1239" i="7" s="1"/>
  <c r="Q1240" i="7" s="1"/>
  <c r="Q1241" i="7" s="1"/>
  <c r="Q1242" i="7" s="1"/>
  <c r="Q1243" i="7" s="1"/>
  <c r="Q1244" i="7" s="1"/>
  <c r="Q1245" i="7" s="1"/>
  <c r="Q1246" i="7" s="1"/>
  <c r="Q1247" i="7" s="1"/>
  <c r="Q1248" i="7" s="1"/>
  <c r="Q1249" i="7" s="1"/>
  <c r="Q1250" i="7" s="1"/>
  <c r="Q1251" i="7" s="1"/>
  <c r="Q1252" i="7" s="1"/>
  <c r="Q1253" i="7" s="1"/>
  <c r="Q1254" i="7" s="1"/>
  <c r="Q1255" i="7" s="1"/>
  <c r="Q1256" i="7" s="1"/>
  <c r="Q1257" i="7" s="1"/>
  <c r="Q1258" i="7" s="1"/>
  <c r="Q1259" i="7" s="1"/>
  <c r="Q1260" i="7" s="1"/>
  <c r="Q1261" i="7" s="1"/>
  <c r="Q1262" i="7" s="1"/>
  <c r="Q1263" i="7" s="1"/>
  <c r="Q1264" i="7" s="1"/>
  <c r="Q1265" i="7" s="1"/>
  <c r="Q1266" i="7" s="1"/>
  <c r="Q1267" i="7" s="1"/>
  <c r="Q1268" i="7" s="1"/>
  <c r="Q1269" i="7" s="1"/>
  <c r="Q1270" i="7" s="1"/>
  <c r="Q1271" i="7" s="1"/>
  <c r="Q1272" i="7" s="1"/>
  <c r="Q1273" i="7" s="1"/>
  <c r="Q1274" i="7" s="1"/>
  <c r="Q1275" i="7" s="1"/>
  <c r="Q1276" i="7" s="1"/>
  <c r="Q1277" i="7" s="1"/>
  <c r="Q1278" i="7" s="1"/>
  <c r="Q1279" i="7" s="1"/>
  <c r="Q1280" i="7" s="1"/>
  <c r="Q1281" i="7" s="1"/>
  <c r="Q1282" i="7" s="1"/>
  <c r="Q1283" i="7" s="1"/>
  <c r="Q1284" i="7" s="1"/>
  <c r="Q1285" i="7" s="1"/>
  <c r="Q1286" i="7" s="1"/>
  <c r="Q1287" i="7" s="1"/>
  <c r="Q1288" i="7" s="1"/>
  <c r="Q1289" i="7" s="1"/>
  <c r="Q1290" i="7" s="1"/>
  <c r="Q1291" i="7" s="1"/>
  <c r="Q1292" i="7" s="1"/>
  <c r="Q1293" i="7" s="1"/>
  <c r="Q1294" i="7" s="1"/>
  <c r="Q1295" i="7" s="1"/>
  <c r="Q1296" i="7" s="1"/>
  <c r="Q1297" i="7" s="1"/>
  <c r="Q1298" i="7" s="1"/>
  <c r="Q1299" i="7" s="1"/>
  <c r="Q1300" i="7" s="1"/>
  <c r="Q1301" i="7" s="1"/>
  <c r="Q1302" i="7" s="1"/>
  <c r="Q1303" i="7" s="1"/>
  <c r="Q1304" i="7" s="1"/>
  <c r="Q1305" i="7" s="1"/>
  <c r="Q1306" i="7" s="1"/>
  <c r="Q1307" i="7" s="1"/>
  <c r="Q1308" i="7" s="1"/>
  <c r="Q1309" i="7" s="1"/>
  <c r="Q1310" i="7" s="1"/>
  <c r="Q1311" i="7" s="1"/>
  <c r="Q1312" i="7" s="1"/>
  <c r="Q1313" i="7" s="1"/>
  <c r="Q1314" i="7" s="1"/>
  <c r="Q1315" i="7" s="1"/>
  <c r="Q1316" i="7" s="1"/>
  <c r="Q1317" i="7" s="1"/>
  <c r="Q1318" i="7" s="1"/>
  <c r="Q1319" i="7" s="1"/>
  <c r="Q1320" i="7" s="1"/>
  <c r="Q1321" i="7" s="1"/>
  <c r="Q1322" i="7" s="1"/>
  <c r="Q1323" i="7" s="1"/>
  <c r="Q1324" i="7" s="1"/>
  <c r="Q1325" i="7" s="1"/>
  <c r="Q1326" i="7" s="1"/>
  <c r="Q1327" i="7" s="1"/>
  <c r="Q1328" i="7" s="1"/>
  <c r="Q1329" i="7" s="1"/>
  <c r="Q1330" i="7" s="1"/>
  <c r="Q1331" i="7" s="1"/>
  <c r="Q1332" i="7" s="1"/>
  <c r="Q1333" i="7" s="1"/>
  <c r="Q1334" i="7" s="1"/>
  <c r="Q1335" i="7" s="1"/>
  <c r="Q1336" i="7" s="1"/>
  <c r="Q1337" i="7" s="1"/>
  <c r="Q1338" i="7" s="1"/>
  <c r="Q1339" i="7" s="1"/>
  <c r="Q1340" i="7" s="1"/>
  <c r="Q1341" i="7" s="1"/>
  <c r="Q1342" i="7" s="1"/>
  <c r="Q1343" i="7" s="1"/>
  <c r="Q1344" i="7" s="1"/>
  <c r="Q1345" i="7" s="1"/>
  <c r="Q1346" i="7" s="1"/>
  <c r="Q1347" i="7" s="1"/>
  <c r="Q1348" i="7" s="1"/>
  <c r="Q1349" i="7" s="1"/>
  <c r="Q1350" i="7" s="1"/>
  <c r="Q1351" i="7" s="1"/>
  <c r="Q1352" i="7" s="1"/>
  <c r="Q1353" i="7" s="1"/>
  <c r="Q1354" i="7" s="1"/>
  <c r="Q1355" i="7" s="1"/>
  <c r="Q1356" i="7" s="1"/>
  <c r="Q1357" i="7" s="1"/>
  <c r="Q1358" i="7" s="1"/>
  <c r="Q1359" i="7" s="1"/>
  <c r="Q1360" i="7" s="1"/>
  <c r="Q1361" i="7" s="1"/>
  <c r="Q1362" i="7" s="1"/>
  <c r="Q1363" i="7" s="1"/>
  <c r="Q1364" i="7" s="1"/>
  <c r="Q1365" i="7" s="1"/>
  <c r="Q1366" i="7" s="1"/>
  <c r="Q1367" i="7" s="1"/>
  <c r="Q1368" i="7" s="1"/>
  <c r="Q1369" i="7" s="1"/>
  <c r="Q1370" i="7" s="1"/>
  <c r="Q1371" i="7" s="1"/>
  <c r="Q1372" i="7" s="1"/>
  <c r="Q1373" i="7" s="1"/>
  <c r="Q1374" i="7" s="1"/>
  <c r="Q1375" i="7" s="1"/>
  <c r="Q1376" i="7" s="1"/>
  <c r="Q1377" i="7" s="1"/>
  <c r="Q1378" i="7" s="1"/>
  <c r="Q1379" i="7" s="1"/>
  <c r="Q1380" i="7" s="1"/>
  <c r="Q1381" i="7" s="1"/>
  <c r="Q1382" i="7" s="1"/>
  <c r="Q1383" i="7" s="1"/>
  <c r="Q1384" i="7" s="1"/>
  <c r="Q1385" i="7" s="1"/>
  <c r="Q1386" i="7" s="1"/>
  <c r="Q1387" i="7" s="1"/>
  <c r="Q1388" i="7" s="1"/>
  <c r="Q1389" i="7" s="1"/>
  <c r="Q1390" i="7" s="1"/>
  <c r="Q1391" i="7" s="1"/>
  <c r="Q1392" i="7" s="1"/>
  <c r="Q1393" i="7" s="1"/>
  <c r="Q1394" i="7" s="1"/>
  <c r="Q1395" i="7" s="1"/>
  <c r="Q1396" i="7" s="1"/>
  <c r="Q1397" i="7" s="1"/>
  <c r="Q1398" i="7" s="1"/>
  <c r="Q1399" i="7" s="1"/>
  <c r="Q1400" i="7" s="1"/>
  <c r="Q1401" i="7" s="1"/>
  <c r="Q1402" i="7" s="1"/>
  <c r="Q1403" i="7" s="1"/>
  <c r="Q1404" i="7" s="1"/>
  <c r="Q1405" i="7" s="1"/>
  <c r="Q1406" i="7" s="1"/>
  <c r="Q1407" i="7" s="1"/>
  <c r="Q1408" i="7" s="1"/>
  <c r="Q1409" i="7" s="1"/>
  <c r="Q1410" i="7" s="1"/>
  <c r="Q1411" i="7" s="1"/>
  <c r="Q1412" i="7" s="1"/>
  <c r="Q1413" i="7" s="1"/>
  <c r="Q1414" i="7" s="1"/>
  <c r="Q1415" i="7" s="1"/>
  <c r="Q1416" i="7" s="1"/>
  <c r="Q1417" i="7" s="1"/>
  <c r="Q1418" i="7" s="1"/>
  <c r="Q1419" i="7" s="1"/>
  <c r="Q1420" i="7" s="1"/>
  <c r="Q1421" i="7" s="1"/>
  <c r="Q1422" i="7" s="1"/>
  <c r="Q1423" i="7" s="1"/>
  <c r="Q1424" i="7" s="1"/>
  <c r="Q1425" i="7" s="1"/>
  <c r="Q1426" i="7" s="1"/>
  <c r="Q1427" i="7" s="1"/>
  <c r="Q1428" i="7" s="1"/>
  <c r="Q1429" i="7" s="1"/>
  <c r="Q1430" i="7" s="1"/>
  <c r="Q1431" i="7" s="1"/>
  <c r="Q1432" i="7" s="1"/>
  <c r="Q1433" i="7" s="1"/>
  <c r="Q1434" i="7" s="1"/>
  <c r="Q1435" i="7" s="1"/>
  <c r="Q1436" i="7" s="1"/>
  <c r="Q1437" i="7" s="1"/>
  <c r="Q1438" i="7" s="1"/>
  <c r="Q1439" i="7" s="1"/>
  <c r="Q1440" i="7" s="1"/>
  <c r="Q1441" i="7" s="1"/>
  <c r="Q1442" i="7" s="1"/>
  <c r="Q1443" i="7" s="1"/>
  <c r="Q1444" i="7" s="1"/>
  <c r="Q1445" i="7" s="1"/>
  <c r="Q1446" i="7" s="1"/>
  <c r="Q1447" i="7" s="1"/>
  <c r="Q1448" i="7" s="1"/>
  <c r="Q1449" i="7" s="1"/>
  <c r="Q1450" i="7" s="1"/>
  <c r="Q1451" i="7" s="1"/>
  <c r="Q1452" i="7" s="1"/>
  <c r="Q1453" i="7" s="1"/>
  <c r="Q1454" i="7" s="1"/>
  <c r="Q1455" i="7" s="1"/>
  <c r="Q1456" i="7" s="1"/>
  <c r="Q1457" i="7" s="1"/>
  <c r="Q1458" i="7" s="1"/>
  <c r="Q1459" i="7" s="1"/>
  <c r="Q1460" i="7" s="1"/>
  <c r="Q1461" i="7" s="1"/>
  <c r="Q1462" i="7" s="1"/>
  <c r="Q1463" i="7" s="1"/>
  <c r="Q1464" i="7" s="1"/>
  <c r="Q1465" i="7" s="1"/>
  <c r="Q1466" i="7" s="1"/>
  <c r="Q1467" i="7" s="1"/>
  <c r="Q1468" i="7" s="1"/>
  <c r="Q1469" i="7" s="1"/>
  <c r="Q1470" i="7" s="1"/>
  <c r="Q1471" i="7" s="1"/>
  <c r="Q1472" i="7" s="1"/>
  <c r="Q1473" i="7" s="1"/>
  <c r="Q1474" i="7" s="1"/>
  <c r="Q1475" i="7" s="1"/>
  <c r="Q1476" i="7" s="1"/>
  <c r="Q1477" i="7" s="1"/>
  <c r="Q1478" i="7" s="1"/>
  <c r="Q1479" i="7" s="1"/>
  <c r="Q1480" i="7" s="1"/>
  <c r="Q1481" i="7" s="1"/>
  <c r="Q1482" i="7" s="1"/>
  <c r="Q1483" i="7" s="1"/>
  <c r="Q1484" i="7" s="1"/>
  <c r="Q1485" i="7" s="1"/>
  <c r="Q1486" i="7" s="1"/>
  <c r="Q1487" i="7" s="1"/>
  <c r="Q1488" i="7" s="1"/>
  <c r="Q1489" i="7" s="1"/>
  <c r="Q1490" i="7" s="1"/>
  <c r="Q1491" i="7" s="1"/>
  <c r="Q1492" i="7" s="1"/>
  <c r="Q1493" i="7" s="1"/>
  <c r="Q1494" i="7" s="1"/>
  <c r="Q1495" i="7" s="1"/>
  <c r="Q1496" i="7" s="1"/>
  <c r="Q1497" i="7" s="1"/>
  <c r="Q1498" i="7" s="1"/>
  <c r="Q1499" i="7" s="1"/>
  <c r="Q1500" i="7" s="1"/>
  <c r="Q1501" i="7" s="1"/>
  <c r="Q1502" i="7" s="1"/>
  <c r="Q1503" i="7" s="1"/>
  <c r="Q1504" i="7" s="1"/>
  <c r="Q1505" i="7" s="1"/>
  <c r="Q1506" i="7" s="1"/>
  <c r="Q1507" i="7" s="1"/>
  <c r="Q1508" i="7" s="1"/>
  <c r="Q1509" i="7" s="1"/>
  <c r="Q1510" i="7" s="1"/>
  <c r="Q1511" i="7" s="1"/>
  <c r="Q1512" i="7" s="1"/>
  <c r="Q1513" i="7" s="1"/>
  <c r="Q1514" i="7" s="1"/>
  <c r="Q1515" i="7" s="1"/>
  <c r="Q1516" i="7" s="1"/>
  <c r="Q1517" i="7" s="1"/>
  <c r="Q1518" i="7" s="1"/>
  <c r="Q1519" i="7" s="1"/>
  <c r="Q1520" i="7" s="1"/>
  <c r="Q1521" i="7" s="1"/>
  <c r="Q1522" i="7" s="1"/>
  <c r="Q1523" i="7" s="1"/>
  <c r="Q1524" i="7" s="1"/>
  <c r="Q1525" i="7" s="1"/>
  <c r="Q1526" i="7" s="1"/>
  <c r="Q1527" i="7" s="1"/>
  <c r="Q1528" i="7" s="1"/>
  <c r="Q1529" i="7" s="1"/>
  <c r="Q1530" i="7" s="1"/>
  <c r="Q1531" i="7" s="1"/>
  <c r="Q1532" i="7" s="1"/>
  <c r="Q1533" i="7" s="1"/>
  <c r="Q1534" i="7" s="1"/>
  <c r="Q1535" i="7" s="1"/>
  <c r="Q1536" i="7" s="1"/>
  <c r="Q1537" i="7" s="1"/>
  <c r="Q1538" i="7" s="1"/>
  <c r="Q1539" i="7" s="1"/>
  <c r="Q1540" i="7" s="1"/>
  <c r="Q1541" i="7" s="1"/>
  <c r="Q1542" i="7" s="1"/>
  <c r="Q1543" i="7" s="1"/>
  <c r="Q1544" i="7" s="1"/>
  <c r="Q1545" i="7" s="1"/>
  <c r="Q1546" i="7" s="1"/>
  <c r="Q1547" i="7" s="1"/>
  <c r="Q1548" i="7" s="1"/>
  <c r="Q1549" i="7" s="1"/>
  <c r="Q1550" i="7" s="1"/>
  <c r="Q1551" i="7" s="1"/>
  <c r="Q1552" i="7" s="1"/>
  <c r="Q1553" i="7" s="1"/>
  <c r="Q1554" i="7" s="1"/>
  <c r="Q1555" i="7" s="1"/>
  <c r="Q1556" i="7" s="1"/>
  <c r="Q1557" i="7" s="1"/>
  <c r="Q1558" i="7" s="1"/>
  <c r="Q1559" i="7" s="1"/>
  <c r="Q1560" i="7" s="1"/>
  <c r="Q1561" i="7" s="1"/>
  <c r="Q1562" i="7" s="1"/>
  <c r="Q1563" i="7" s="1"/>
  <c r="Q1564" i="7" s="1"/>
  <c r="Q1565" i="7" s="1"/>
  <c r="Q1566" i="7" s="1"/>
  <c r="Q1567" i="7" s="1"/>
  <c r="Q1568" i="7" s="1"/>
  <c r="Q1569" i="7" s="1"/>
  <c r="Q1570" i="7" s="1"/>
  <c r="Q1571" i="7" s="1"/>
  <c r="Q1572" i="7" s="1"/>
  <c r="Q1573" i="7" s="1"/>
  <c r="Q1574" i="7" s="1"/>
  <c r="Q1575" i="7" s="1"/>
  <c r="Q1576" i="7" s="1"/>
  <c r="Q1577" i="7" s="1"/>
  <c r="Q1578" i="7" s="1"/>
  <c r="Q1579" i="7" s="1"/>
  <c r="Q1580" i="7" s="1"/>
  <c r="Q1581" i="7" s="1"/>
  <c r="Q1582" i="7" s="1"/>
  <c r="Q1583" i="7" s="1"/>
  <c r="Q1584" i="7" s="1"/>
  <c r="Q1585" i="7" s="1"/>
  <c r="Q1586" i="7" s="1"/>
  <c r="Q1587" i="7" s="1"/>
  <c r="Q1588" i="7" s="1"/>
  <c r="Q1589" i="7" s="1"/>
  <c r="Q1590" i="7" s="1"/>
  <c r="Q1591" i="7" s="1"/>
  <c r="Q1592" i="7" s="1"/>
  <c r="Q1593" i="7" s="1"/>
  <c r="Q1594" i="7" s="1"/>
  <c r="Q1595" i="7" s="1"/>
  <c r="Q1596" i="7" s="1"/>
  <c r="Q1597" i="7" s="1"/>
  <c r="Q1598" i="7" s="1"/>
  <c r="Q1599" i="7" s="1"/>
  <c r="Q1600" i="7" s="1"/>
  <c r="Q1601" i="7" s="1"/>
  <c r="Q1602" i="7" s="1"/>
  <c r="Q1603" i="7" s="1"/>
  <c r="Q1604" i="7" s="1"/>
  <c r="Q1605" i="7" s="1"/>
  <c r="Q1606" i="7" s="1"/>
  <c r="Q1607" i="7" s="1"/>
  <c r="Q1608" i="7" s="1"/>
  <c r="Q1609" i="7" s="1"/>
  <c r="Q1610" i="7" s="1"/>
  <c r="Q1611" i="7" s="1"/>
  <c r="Q1612" i="7" s="1"/>
  <c r="Q1613" i="7" s="1"/>
  <c r="Q1614" i="7" s="1"/>
  <c r="Q1615" i="7" s="1"/>
  <c r="Q1616" i="7" s="1"/>
  <c r="Q1617" i="7" s="1"/>
  <c r="Q1618" i="7" s="1"/>
  <c r="Q1619" i="7" s="1"/>
  <c r="Q1620" i="7" s="1"/>
  <c r="Q1621" i="7" s="1"/>
  <c r="Q1622" i="7" s="1"/>
  <c r="Q1623" i="7" s="1"/>
  <c r="Q1624" i="7" s="1"/>
  <c r="Q1625" i="7" s="1"/>
  <c r="Q1626" i="7" s="1"/>
  <c r="Q1627" i="7" s="1"/>
  <c r="Q1628" i="7" s="1"/>
  <c r="Q1629" i="7" s="1"/>
  <c r="Q1630" i="7" s="1"/>
  <c r="Q1631" i="7" s="1"/>
  <c r="Q1632" i="7" s="1"/>
  <c r="Q1633" i="7" s="1"/>
  <c r="Q1634" i="7" s="1"/>
  <c r="Q1635" i="7" s="1"/>
  <c r="Q1636" i="7" s="1"/>
  <c r="Q1637" i="7" s="1"/>
  <c r="Q1638" i="7" s="1"/>
  <c r="Q1639" i="7" s="1"/>
  <c r="Q1640" i="7" s="1"/>
  <c r="Q1641" i="7" s="1"/>
  <c r="Q1642" i="7" s="1"/>
  <c r="Q1643" i="7" s="1"/>
  <c r="Q1644" i="7" s="1"/>
  <c r="Q1645" i="7" s="1"/>
  <c r="Q1646" i="7" s="1"/>
  <c r="Q1647" i="7" s="1"/>
  <c r="Q1648" i="7" s="1"/>
  <c r="Q1649" i="7" s="1"/>
  <c r="Q1650" i="7" s="1"/>
  <c r="Q1651" i="7" s="1"/>
  <c r="Q1652" i="7" s="1"/>
  <c r="Q1653" i="7" s="1"/>
  <c r="Q1654" i="7" s="1"/>
  <c r="Q1655" i="7" s="1"/>
  <c r="Q1656" i="7" s="1"/>
  <c r="Q1657" i="7" s="1"/>
  <c r="Q1658" i="7" s="1"/>
  <c r="Q1659" i="7" s="1"/>
  <c r="Q1660" i="7" s="1"/>
  <c r="Q1661" i="7" s="1"/>
  <c r="Q1662" i="7" s="1"/>
  <c r="Q1663" i="7" s="1"/>
  <c r="Q1664" i="7" s="1"/>
  <c r="Q1665" i="7" s="1"/>
  <c r="Q1666" i="7" s="1"/>
  <c r="Q1667" i="7" s="1"/>
  <c r="Q1668" i="7" s="1"/>
  <c r="Q1669" i="7" s="1"/>
  <c r="Q1670" i="7" s="1"/>
  <c r="Q1671" i="7" s="1"/>
  <c r="Q1672" i="7" s="1"/>
  <c r="Q1673" i="7" s="1"/>
  <c r="Q1674" i="7" s="1"/>
  <c r="Q1675" i="7" s="1"/>
  <c r="Q1676" i="7" s="1"/>
  <c r="Q1677" i="7" s="1"/>
  <c r="Q1678" i="7" s="1"/>
  <c r="Q1679" i="7" s="1"/>
  <c r="Q1680" i="7" s="1"/>
  <c r="Q1681" i="7" s="1"/>
  <c r="Q1682" i="7" s="1"/>
  <c r="Q1683" i="7" s="1"/>
  <c r="Q1684" i="7" s="1"/>
  <c r="Q1685" i="7" s="1"/>
  <c r="Q1686" i="7" s="1"/>
  <c r="Q1687" i="7" s="1"/>
  <c r="Q1688" i="7" s="1"/>
  <c r="Q1689" i="7" s="1"/>
  <c r="Q1690" i="7" s="1"/>
  <c r="Q1691" i="7" s="1"/>
  <c r="Q1692" i="7" s="1"/>
  <c r="Q1693" i="7" s="1"/>
  <c r="Q1694" i="7" s="1"/>
  <c r="Q1695" i="7" s="1"/>
  <c r="Q1696" i="7" s="1"/>
  <c r="Q1697" i="7" s="1"/>
  <c r="Q1698" i="7" s="1"/>
  <c r="Q1699" i="7" s="1"/>
  <c r="Q1700" i="7" s="1"/>
  <c r="Q1701" i="7" s="1"/>
  <c r="Q1702" i="7" s="1"/>
  <c r="Q1703" i="7" s="1"/>
  <c r="Q1704" i="7" s="1"/>
  <c r="Q1705" i="7" s="1"/>
  <c r="Q1706" i="7" s="1"/>
  <c r="Q1707" i="7" s="1"/>
  <c r="Q1708" i="7" s="1"/>
  <c r="Q1709" i="7" s="1"/>
  <c r="Q1710" i="7" s="1"/>
  <c r="Q1711" i="7" s="1"/>
  <c r="Q1712" i="7" s="1"/>
  <c r="Q1713" i="7" s="1"/>
  <c r="Q1714" i="7" s="1"/>
  <c r="Q1715" i="7" s="1"/>
  <c r="Q1716" i="7" s="1"/>
  <c r="Q1717" i="7" s="1"/>
  <c r="Q1718" i="7" s="1"/>
  <c r="Q1719" i="7" s="1"/>
  <c r="Q1720" i="7" s="1"/>
  <c r="Q1721" i="7" s="1"/>
  <c r="Q1722" i="7" s="1"/>
  <c r="Q1723" i="7" s="1"/>
  <c r="Q1724" i="7" s="1"/>
  <c r="Q1725" i="7" s="1"/>
  <c r="Q1726" i="7" s="1"/>
  <c r="Q1727" i="7" s="1"/>
  <c r="Q1728" i="7" s="1"/>
  <c r="Q1729" i="7" s="1"/>
  <c r="Q1730" i="7" s="1"/>
  <c r="Q1731" i="7" s="1"/>
  <c r="Q1732" i="7" s="1"/>
  <c r="Q1733" i="7" s="1"/>
  <c r="Q1734" i="7" s="1"/>
  <c r="Q1735" i="7" s="1"/>
  <c r="Q1736" i="7" s="1"/>
  <c r="Q1737" i="7" s="1"/>
  <c r="Q1738" i="7" s="1"/>
  <c r="Q1739" i="7" s="1"/>
  <c r="Q1740" i="7" s="1"/>
  <c r="Q1741" i="7" s="1"/>
  <c r="Q1742" i="7" s="1"/>
  <c r="Q1743" i="7" s="1"/>
  <c r="Q1744" i="7" s="1"/>
  <c r="Q1745" i="7" s="1"/>
  <c r="Q1746" i="7" s="1"/>
  <c r="Q1747" i="7" s="1"/>
  <c r="Q1748" i="7" s="1"/>
  <c r="Q1749" i="7" s="1"/>
  <c r="Q1750" i="7" s="1"/>
  <c r="Q1751" i="7" s="1"/>
  <c r="Q1752" i="7" s="1"/>
  <c r="Q1753" i="7" s="1"/>
  <c r="Q1754" i="7" s="1"/>
  <c r="Q1755" i="7" s="1"/>
  <c r="Q1756" i="7" s="1"/>
  <c r="Q1757" i="7" s="1"/>
  <c r="Q1758" i="7" s="1"/>
  <c r="Q1759" i="7" s="1"/>
  <c r="Q1760" i="7" s="1"/>
  <c r="Q1761" i="7" s="1"/>
  <c r="Q1762" i="7" s="1"/>
  <c r="Q1763" i="7" s="1"/>
  <c r="Q1764" i="7" s="1"/>
  <c r="Q1765" i="7" s="1"/>
  <c r="Q1766" i="7" s="1"/>
  <c r="Q1767" i="7" s="1"/>
  <c r="Q1768" i="7" s="1"/>
  <c r="Q1769" i="7" s="1"/>
  <c r="Q1770" i="7" s="1"/>
  <c r="Q1771" i="7" s="1"/>
  <c r="Q1772" i="7" s="1"/>
  <c r="Q1773" i="7" s="1"/>
  <c r="Q1774" i="7" s="1"/>
  <c r="Q1775" i="7" s="1"/>
  <c r="Q1776" i="7" s="1"/>
  <c r="Q1777" i="7" s="1"/>
  <c r="Q1778" i="7" s="1"/>
  <c r="Q1779" i="7" s="1"/>
  <c r="Q1780" i="7" s="1"/>
  <c r="Q1781" i="7" s="1"/>
  <c r="Q1782" i="7" s="1"/>
  <c r="Q1783" i="7" s="1"/>
  <c r="Q1784" i="7" s="1"/>
  <c r="Q1785" i="7" s="1"/>
  <c r="Q1786" i="7" s="1"/>
  <c r="Q1787" i="7" s="1"/>
  <c r="Q1788" i="7" s="1"/>
  <c r="Q1789" i="7" s="1"/>
  <c r="Q1790" i="7" s="1"/>
  <c r="Q1791" i="7" s="1"/>
  <c r="Q1792" i="7" s="1"/>
  <c r="Q1793" i="7" s="1"/>
  <c r="Q1794" i="7" s="1"/>
  <c r="Q1795" i="7" s="1"/>
  <c r="Q1796" i="7" s="1"/>
  <c r="Q1797" i="7" s="1"/>
  <c r="Q1798" i="7" s="1"/>
  <c r="Q1799" i="7" s="1"/>
  <c r="Q1800" i="7" s="1"/>
  <c r="Q1801" i="7" s="1"/>
  <c r="Q1802" i="7" s="1"/>
  <c r="Q1803" i="7" s="1"/>
  <c r="Q1804" i="7" s="1"/>
  <c r="Q1805" i="7" s="1"/>
  <c r="Q1806" i="7" s="1"/>
  <c r="Q1807" i="7" s="1"/>
  <c r="Q1808" i="7" s="1"/>
  <c r="Q1809" i="7" s="1"/>
  <c r="Q1810" i="7" s="1"/>
  <c r="Q1811" i="7" s="1"/>
  <c r="Q1812" i="7" s="1"/>
  <c r="Q1813" i="7" s="1"/>
  <c r="Q1814" i="7" s="1"/>
  <c r="Q1815" i="7" s="1"/>
  <c r="Q1816" i="7" s="1"/>
  <c r="Q1817" i="7" s="1"/>
  <c r="Q1818" i="7" s="1"/>
  <c r="Q1819" i="7" s="1"/>
  <c r="Q1820" i="7" s="1"/>
  <c r="Q1821" i="7" s="1"/>
  <c r="Q1822" i="7" s="1"/>
  <c r="Q1823" i="7" s="1"/>
  <c r="Q1824" i="7" s="1"/>
  <c r="Q1825" i="7" s="1"/>
  <c r="Q1826" i="7" s="1"/>
  <c r="Q1827" i="7" s="1"/>
  <c r="Q1828" i="7" s="1"/>
  <c r="Q1829" i="7" s="1"/>
  <c r="Q1830" i="7" s="1"/>
  <c r="Q1831" i="7" s="1"/>
  <c r="Q1832" i="7" s="1"/>
  <c r="Q1833" i="7" s="1"/>
  <c r="Q1834" i="7" s="1"/>
  <c r="Q1835" i="7" s="1"/>
  <c r="Q1836" i="7" s="1"/>
  <c r="Q1837" i="7" s="1"/>
  <c r="Q1838" i="7" s="1"/>
  <c r="Q1839" i="7" s="1"/>
  <c r="Q1840" i="7" s="1"/>
  <c r="Q1841" i="7" s="1"/>
  <c r="Q1842" i="7" s="1"/>
  <c r="Q1843" i="7" s="1"/>
  <c r="Q1844" i="7" s="1"/>
  <c r="Q1845" i="7" s="1"/>
  <c r="Q1846" i="7" s="1"/>
  <c r="Q1847" i="7" s="1"/>
  <c r="Q1848" i="7" s="1"/>
  <c r="Q1849" i="7" s="1"/>
  <c r="Q1850" i="7" s="1"/>
  <c r="Q1851" i="7" s="1"/>
  <c r="Q1852" i="7" s="1"/>
  <c r="Q1853" i="7" s="1"/>
  <c r="Q1854" i="7" s="1"/>
  <c r="Q1855" i="7" s="1"/>
  <c r="Q1856" i="7" s="1"/>
  <c r="Q1857" i="7" s="1"/>
  <c r="Q1858" i="7" s="1"/>
  <c r="Q1859" i="7" s="1"/>
  <c r="Q1860" i="7" s="1"/>
  <c r="Q1861" i="7" s="1"/>
  <c r="Q1862" i="7" s="1"/>
  <c r="Q1863" i="7" s="1"/>
  <c r="Q1864" i="7" s="1"/>
  <c r="Q1865" i="7" s="1"/>
  <c r="Q1866" i="7" s="1"/>
  <c r="Q1867" i="7" s="1"/>
  <c r="Q1868" i="7" s="1"/>
  <c r="Q1869" i="7" s="1"/>
  <c r="Q1870" i="7" s="1"/>
  <c r="Q1871" i="7" s="1"/>
  <c r="Q1872" i="7" s="1"/>
  <c r="Q1873" i="7" s="1"/>
  <c r="Q1874" i="7" s="1"/>
  <c r="Q1875" i="7" s="1"/>
  <c r="Q1876" i="7" s="1"/>
  <c r="Q1877" i="7" s="1"/>
  <c r="Q1878" i="7" s="1"/>
  <c r="Q1879" i="7" s="1"/>
  <c r="Q1880" i="7" s="1"/>
  <c r="Q1881" i="7" s="1"/>
  <c r="Q1882" i="7" s="1"/>
  <c r="Q1883" i="7" s="1"/>
  <c r="Q1884" i="7" s="1"/>
  <c r="Q1885" i="7" s="1"/>
  <c r="Q1886" i="7" s="1"/>
  <c r="Q1887" i="7" s="1"/>
  <c r="Q1888" i="7" s="1"/>
  <c r="Q1889" i="7" s="1"/>
  <c r="Q1890" i="7" s="1"/>
  <c r="Q1891" i="7" s="1"/>
  <c r="Q1892" i="7" s="1"/>
  <c r="Q1893" i="7" s="1"/>
  <c r="Q1894" i="7" s="1"/>
  <c r="Q1895" i="7" s="1"/>
  <c r="Q1896" i="7" s="1"/>
  <c r="Q1897" i="7" s="1"/>
  <c r="Q1898" i="7" s="1"/>
  <c r="Q1899" i="7" s="1"/>
  <c r="Q1900" i="7" s="1"/>
  <c r="Q1901" i="7" s="1"/>
  <c r="Q1902" i="7" s="1"/>
  <c r="Q1903" i="7" s="1"/>
  <c r="Q1904" i="7" s="1"/>
  <c r="Q1905" i="7" s="1"/>
  <c r="Q1906" i="7" s="1"/>
  <c r="Q1907" i="7" s="1"/>
  <c r="Q1908" i="7" s="1"/>
  <c r="Q1909" i="7" s="1"/>
  <c r="Q1910" i="7" s="1"/>
  <c r="Q1911" i="7" s="1"/>
  <c r="Q1912" i="7" s="1"/>
  <c r="Q1913" i="7" s="1"/>
  <c r="Q1914" i="7" s="1"/>
  <c r="Q1915" i="7" s="1"/>
  <c r="Q1916" i="7" s="1"/>
  <c r="Q1917" i="7" s="1"/>
  <c r="Q1918" i="7" s="1"/>
  <c r="Q1919" i="7" s="1"/>
  <c r="Q1920" i="7" s="1"/>
  <c r="Q1921" i="7" s="1"/>
  <c r="Q1922" i="7" s="1"/>
  <c r="Q1923" i="7" s="1"/>
  <c r="Q1924" i="7" s="1"/>
  <c r="Q1925" i="7" s="1"/>
  <c r="Q1926" i="7" s="1"/>
  <c r="Q1927" i="7" s="1"/>
  <c r="Q1928" i="7" s="1"/>
  <c r="Q1929" i="7" s="1"/>
  <c r="Q1930" i="7" s="1"/>
  <c r="Q1931" i="7" s="1"/>
  <c r="Q1932" i="7" s="1"/>
  <c r="Q1933" i="7" s="1"/>
  <c r="Q1934" i="7" s="1"/>
  <c r="Q1935" i="7" s="1"/>
  <c r="Q1936" i="7" s="1"/>
  <c r="Q1937" i="7" s="1"/>
  <c r="Q1938" i="7" s="1"/>
  <c r="Q1939" i="7" s="1"/>
  <c r="Q1940" i="7" s="1"/>
  <c r="Q1941" i="7" s="1"/>
  <c r="Q1942" i="7" s="1"/>
  <c r="Q1943" i="7" s="1"/>
  <c r="Q1944" i="7" s="1"/>
  <c r="Q1945" i="7" s="1"/>
  <c r="Q1946" i="7" s="1"/>
  <c r="Q1947" i="7" s="1"/>
  <c r="Q1948" i="7" s="1"/>
  <c r="Q1949" i="7" s="1"/>
  <c r="Q1950" i="7" s="1"/>
  <c r="Q1951" i="7" s="1"/>
  <c r="Q1952" i="7" s="1"/>
  <c r="Q1953" i="7" s="1"/>
  <c r="Q1954" i="7" s="1"/>
  <c r="Q1955" i="7" s="1"/>
  <c r="Q1956" i="7" s="1"/>
  <c r="Q1957" i="7" s="1"/>
  <c r="Q1958" i="7" s="1"/>
  <c r="Q1959" i="7" s="1"/>
  <c r="Q1960" i="7" s="1"/>
  <c r="Q1961" i="7" s="1"/>
  <c r="Q1962" i="7" s="1"/>
  <c r="Q1963" i="7" s="1"/>
  <c r="Q1964" i="7" s="1"/>
  <c r="Q1965" i="7" s="1"/>
  <c r="Q1966" i="7" s="1"/>
  <c r="Q1967" i="7" s="1"/>
  <c r="Q1968" i="7" s="1"/>
  <c r="Q1969" i="7" s="1"/>
  <c r="Q1970" i="7" s="1"/>
  <c r="Q1971" i="7" s="1"/>
  <c r="Q1972" i="7" s="1"/>
  <c r="Q1973" i="7" s="1"/>
  <c r="Q1974" i="7" s="1"/>
  <c r="Q1975" i="7" s="1"/>
  <c r="Q1976" i="7" s="1"/>
  <c r="Q1977" i="7" s="1"/>
  <c r="Q1978" i="7" s="1"/>
  <c r="Q1979" i="7" s="1"/>
  <c r="Q1980" i="7" s="1"/>
  <c r="Q1981" i="7" s="1"/>
  <c r="Q1982" i="7" s="1"/>
  <c r="Q1983" i="7" s="1"/>
  <c r="Q1984" i="7" s="1"/>
  <c r="Q1985" i="7" s="1"/>
  <c r="Q1986" i="7" s="1"/>
  <c r="Q1987" i="7" s="1"/>
  <c r="Q1988" i="7" s="1"/>
  <c r="Q1989" i="7" s="1"/>
  <c r="Q1990" i="7" s="1"/>
  <c r="Q1991" i="7" s="1"/>
  <c r="Q1992" i="7" s="1"/>
  <c r="Q1993" i="7" s="1"/>
  <c r="Q1994" i="7" s="1"/>
  <c r="Q1995" i="7" s="1"/>
  <c r="Q1996" i="7" s="1"/>
  <c r="Q1997" i="7" s="1"/>
  <c r="Q1998" i="7" s="1"/>
  <c r="Q1999" i="7" s="1"/>
  <c r="Q2000" i="7" s="1"/>
  <c r="Q2001" i="7" s="1"/>
  <c r="Q2002" i="7" s="1"/>
  <c r="Q2003" i="7" s="1"/>
  <c r="Q2004" i="7" s="1"/>
  <c r="Q2005" i="7" s="1"/>
  <c r="Q2006" i="7" s="1"/>
  <c r="Q2007" i="7" s="1"/>
  <c r="Q2008" i="7" s="1"/>
  <c r="Q2009" i="7" s="1"/>
  <c r="Q2010" i="7" s="1"/>
  <c r="Q2011" i="7" s="1"/>
  <c r="Q2012" i="7" s="1"/>
  <c r="Q2013" i="7" s="1"/>
  <c r="Q2014" i="7" s="1"/>
  <c r="Q2015" i="7" s="1"/>
  <c r="Q2016" i="7" s="1"/>
  <c r="Q2017" i="7" s="1"/>
  <c r="Q2018" i="7" s="1"/>
  <c r="Q2019" i="7" s="1"/>
  <c r="Q2020" i="7" s="1"/>
  <c r="Q2021" i="7" s="1"/>
  <c r="Q2022" i="7" s="1"/>
  <c r="Q2023" i="7" s="1"/>
  <c r="Q2024" i="7" s="1"/>
  <c r="Q2025" i="7" s="1"/>
  <c r="Q2026" i="7" s="1"/>
  <c r="Q2027" i="7" s="1"/>
  <c r="Q2028" i="7" s="1"/>
  <c r="Q2029" i="7" s="1"/>
  <c r="Q2030" i="7" s="1"/>
  <c r="Q2031" i="7" s="1"/>
  <c r="Q2032" i="7" s="1"/>
  <c r="Q2033" i="7" s="1"/>
  <c r="Q2034" i="7" s="1"/>
  <c r="Q2035" i="7" s="1"/>
  <c r="Q2036" i="7" s="1"/>
  <c r="Q2037" i="7" s="1"/>
  <c r="B37" i="7"/>
  <c r="M36" i="7"/>
  <c r="M35" i="7"/>
  <c r="B32" i="7"/>
  <c r="B46" i="7" s="1"/>
  <c r="B31" i="7"/>
  <c r="B45" i="7" s="1"/>
  <c r="B30" i="7"/>
  <c r="B44" i="7" s="1"/>
  <c r="B29" i="7"/>
  <c r="B43" i="7" s="1"/>
  <c r="B28" i="7"/>
  <c r="K28" i="7" s="1"/>
  <c r="K42" i="7" s="1"/>
  <c r="B27" i="7"/>
  <c r="B41" i="7" s="1"/>
  <c r="B26" i="7"/>
  <c r="B40" i="7" s="1"/>
  <c r="B25" i="7"/>
  <c r="B24" i="7"/>
  <c r="B38" i="7" s="1"/>
  <c r="K23" i="7"/>
  <c r="K37" i="7" s="1"/>
  <c r="N16" i="7"/>
  <c r="E16" i="7"/>
  <c r="C16" i="7"/>
  <c r="N15" i="7"/>
  <c r="E15" i="7"/>
  <c r="C15" i="7"/>
  <c r="N14" i="7"/>
  <c r="N13" i="7"/>
  <c r="C13" i="7"/>
  <c r="N12" i="7"/>
  <c r="C12" i="7"/>
  <c r="N11" i="7"/>
  <c r="N10" i="7"/>
  <c r="E10" i="7"/>
  <c r="N9" i="7"/>
  <c r="E9" i="7"/>
  <c r="I57" i="7" s="1"/>
  <c r="G57" i="7" s="1"/>
  <c r="N8" i="7"/>
  <c r="N7" i="7"/>
  <c r="N6" i="7"/>
  <c r="N5" i="7"/>
  <c r="N4" i="7"/>
  <c r="N3" i="7"/>
  <c r="N2" i="7"/>
  <c r="G15" i="15" a="1"/>
  <c r="G15" i="15" s="1"/>
  <c r="C15" i="15" a="1"/>
  <c r="C15" i="15" s="1"/>
  <c r="G14" i="15" a="1"/>
  <c r="G14" i="15" s="1"/>
  <c r="C14" i="15" a="1"/>
  <c r="C14" i="15" s="1"/>
  <c r="G13" i="15" a="1"/>
  <c r="G13" i="15" s="1"/>
  <c r="C13" i="15" a="1"/>
  <c r="C13" i="15" s="1"/>
  <c r="G12" i="15" a="1"/>
  <c r="G12" i="15" s="1"/>
  <c r="C12" i="15" a="1"/>
  <c r="C12" i="15" s="1"/>
  <c r="K21" i="2"/>
  <c r="AH20" i="2"/>
  <c r="AB11" i="2" s="1"/>
  <c r="AI18" i="2"/>
  <c r="AG18" i="2"/>
  <c r="AI17" i="2"/>
  <c r="AG17" i="2"/>
  <c r="K17" i="2"/>
  <c r="AI16" i="2"/>
  <c r="AG16" i="2"/>
  <c r="AI15" i="2"/>
  <c r="AG15" i="2"/>
  <c r="T14" i="3"/>
  <c r="AI14" i="2"/>
  <c r="AG14" i="2"/>
  <c r="AB14" i="2"/>
  <c r="AB13" i="2"/>
  <c r="AB12" i="2"/>
  <c r="AB10" i="2"/>
  <c r="AB9" i="2"/>
  <c r="AH8" i="2"/>
  <c r="AB8" i="2"/>
  <c r="AH7" i="2"/>
  <c r="AB7" i="2"/>
  <c r="K7" i="2"/>
  <c r="AH6" i="2"/>
  <c r="AB6" i="2"/>
  <c r="AH5" i="2"/>
  <c r="AH4" i="2"/>
  <c r="Q623" i="6"/>
  <c r="P623" i="6"/>
  <c r="O623" i="6"/>
  <c r="N623" i="6"/>
  <c r="L623" i="6"/>
  <c r="K623" i="6"/>
  <c r="Q622" i="6"/>
  <c r="P622" i="6"/>
  <c r="O622" i="6"/>
  <c r="M622" i="6"/>
  <c r="L622" i="6"/>
  <c r="K622" i="6"/>
  <c r="P621" i="6"/>
  <c r="O621" i="6"/>
  <c r="N621" i="6"/>
  <c r="M621" i="6"/>
  <c r="I621" i="6"/>
  <c r="P620" i="6"/>
  <c r="O620" i="6"/>
  <c r="N620" i="6"/>
  <c r="M620" i="6"/>
  <c r="I620" i="6"/>
  <c r="Q620" i="6" s="1"/>
  <c r="Q619" i="6"/>
  <c r="P619" i="6"/>
  <c r="O619" i="6"/>
  <c r="N619" i="6"/>
  <c r="L619" i="6"/>
  <c r="K619" i="6"/>
  <c r="Q618" i="6"/>
  <c r="P618" i="6"/>
  <c r="O618" i="6"/>
  <c r="M618" i="6"/>
  <c r="L618" i="6"/>
  <c r="K618" i="6"/>
  <c r="S618" i="6" s="1"/>
  <c r="P617" i="6"/>
  <c r="N617" i="6"/>
  <c r="M617" i="6"/>
  <c r="L617" i="6"/>
  <c r="I617" i="6"/>
  <c r="Q617" i="6" s="1"/>
  <c r="P616" i="6"/>
  <c r="N616" i="6"/>
  <c r="M616" i="6"/>
  <c r="L616" i="6"/>
  <c r="I616" i="6"/>
  <c r="K616" i="6" s="1"/>
  <c r="P615" i="6"/>
  <c r="O615" i="6"/>
  <c r="N615" i="6"/>
  <c r="M615" i="6"/>
  <c r="I615" i="6"/>
  <c r="Q615" i="6" s="1"/>
  <c r="P614" i="6"/>
  <c r="O614" i="6"/>
  <c r="N614" i="6"/>
  <c r="M614" i="6"/>
  <c r="I614" i="6"/>
  <c r="Q614" i="6" s="1"/>
  <c r="P613" i="6"/>
  <c r="O613" i="6"/>
  <c r="N613" i="6"/>
  <c r="M613" i="6"/>
  <c r="I613" i="6"/>
  <c r="Q613" i="6" s="1"/>
  <c r="H613" i="6"/>
  <c r="O612" i="6"/>
  <c r="N612" i="6"/>
  <c r="M612" i="6"/>
  <c r="L612" i="6"/>
  <c r="I612" i="6"/>
  <c r="Q612" i="6" s="1"/>
  <c r="Q611" i="6"/>
  <c r="O611" i="6"/>
  <c r="N611" i="6"/>
  <c r="M611" i="6"/>
  <c r="L611" i="6"/>
  <c r="K611" i="6"/>
  <c r="P610" i="6"/>
  <c r="O610" i="6"/>
  <c r="N610" i="6"/>
  <c r="M610" i="6"/>
  <c r="I610" i="6"/>
  <c r="Q610" i="6" s="1"/>
  <c r="Q609" i="6"/>
  <c r="O609" i="6"/>
  <c r="N609" i="6"/>
  <c r="M609" i="6"/>
  <c r="L609" i="6"/>
  <c r="K609" i="6"/>
  <c r="Q608" i="6"/>
  <c r="O608" i="6"/>
  <c r="N608" i="6"/>
  <c r="M608" i="6"/>
  <c r="L608" i="6"/>
  <c r="K608" i="6"/>
  <c r="P607" i="6"/>
  <c r="O607" i="6"/>
  <c r="N607" i="6"/>
  <c r="M607" i="6"/>
  <c r="I607" i="6"/>
  <c r="Q607" i="6" s="1"/>
  <c r="H607" i="6"/>
  <c r="Q606" i="6"/>
  <c r="O606" i="6"/>
  <c r="N606" i="6"/>
  <c r="M606" i="6"/>
  <c r="L606" i="6"/>
  <c r="K606" i="6"/>
  <c r="P606" i="6" s="1"/>
  <c r="P605" i="6"/>
  <c r="N605" i="6"/>
  <c r="M605" i="6"/>
  <c r="L605" i="6"/>
  <c r="I605" i="6"/>
  <c r="Q604" i="6"/>
  <c r="O604" i="6"/>
  <c r="N604" i="6"/>
  <c r="M604" i="6"/>
  <c r="L604" i="6"/>
  <c r="K604" i="6"/>
  <c r="S604" i="6" s="1"/>
  <c r="P603" i="6"/>
  <c r="O603" i="6"/>
  <c r="N603" i="6"/>
  <c r="M603" i="6"/>
  <c r="I603" i="6"/>
  <c r="H603" i="6"/>
  <c r="Q602" i="6"/>
  <c r="O602" i="6"/>
  <c r="N602" i="6"/>
  <c r="M602" i="6"/>
  <c r="L602" i="6"/>
  <c r="K602" i="6"/>
  <c r="S602" i="6" s="1"/>
  <c r="P601" i="6"/>
  <c r="O601" i="6"/>
  <c r="N601" i="6"/>
  <c r="M601" i="6"/>
  <c r="I601" i="6"/>
  <c r="Q601" i="6" s="1"/>
  <c r="H601" i="6"/>
  <c r="P600" i="6"/>
  <c r="O600" i="6"/>
  <c r="N600" i="6"/>
  <c r="M600" i="6"/>
  <c r="I600" i="6"/>
  <c r="Q600" i="6" s="1"/>
  <c r="Q599" i="6"/>
  <c r="O599" i="6"/>
  <c r="N599" i="6"/>
  <c r="M599" i="6"/>
  <c r="L599" i="6"/>
  <c r="K599" i="6"/>
  <c r="S599" i="6" s="1"/>
  <c r="Q598" i="6"/>
  <c r="O598" i="6"/>
  <c r="N598" i="6"/>
  <c r="M598" i="6"/>
  <c r="L598" i="6"/>
  <c r="K598" i="6"/>
  <c r="P597" i="6"/>
  <c r="N597" i="6"/>
  <c r="M597" i="6"/>
  <c r="L597" i="6"/>
  <c r="I597" i="6"/>
  <c r="Q597" i="6" s="1"/>
  <c r="P596" i="6"/>
  <c r="O596" i="6"/>
  <c r="N596" i="6"/>
  <c r="M596" i="6"/>
  <c r="I596" i="6"/>
  <c r="P595" i="6"/>
  <c r="N595" i="6"/>
  <c r="M595" i="6"/>
  <c r="L595" i="6"/>
  <c r="I595" i="6"/>
  <c r="Q595" i="6" s="1"/>
  <c r="P594" i="6"/>
  <c r="N594" i="6"/>
  <c r="M594" i="6"/>
  <c r="L594" i="6"/>
  <c r="I594" i="6"/>
  <c r="Q594" i="6" s="1"/>
  <c r="Q593" i="6"/>
  <c r="P593" i="6"/>
  <c r="O593" i="6"/>
  <c r="N593" i="6"/>
  <c r="L593" i="6"/>
  <c r="K593" i="6"/>
  <c r="P592" i="6"/>
  <c r="N592" i="6"/>
  <c r="M592" i="6"/>
  <c r="L592" i="6"/>
  <c r="I592" i="6"/>
  <c r="K592" i="6" s="1"/>
  <c r="S592" i="6" s="1"/>
  <c r="P591" i="6"/>
  <c r="O591" i="6"/>
  <c r="N591" i="6"/>
  <c r="M591" i="6"/>
  <c r="I591" i="6"/>
  <c r="P590" i="6"/>
  <c r="N590" i="6"/>
  <c r="M590" i="6"/>
  <c r="L590" i="6"/>
  <c r="I590" i="6"/>
  <c r="Q590" i="6" s="1"/>
  <c r="Q589" i="6"/>
  <c r="P589" i="6"/>
  <c r="O589" i="6"/>
  <c r="N589" i="6"/>
  <c r="L589" i="6"/>
  <c r="K589" i="6"/>
  <c r="P588" i="6"/>
  <c r="N588" i="6"/>
  <c r="M588" i="6"/>
  <c r="L588" i="6"/>
  <c r="I588" i="6"/>
  <c r="P587" i="6"/>
  <c r="O587" i="6"/>
  <c r="N587" i="6"/>
  <c r="M587" i="6"/>
  <c r="I587" i="6"/>
  <c r="K587" i="6" s="1"/>
  <c r="S587" i="6" s="1"/>
  <c r="P586" i="6"/>
  <c r="N586" i="6"/>
  <c r="M586" i="6"/>
  <c r="L586" i="6"/>
  <c r="I586" i="6"/>
  <c r="K586" i="6" s="1"/>
  <c r="O586" i="6" s="1"/>
  <c r="P585" i="6"/>
  <c r="N585" i="6"/>
  <c r="M585" i="6"/>
  <c r="L585" i="6"/>
  <c r="I585" i="6"/>
  <c r="K585" i="6" s="1"/>
  <c r="O585" i="6" s="1"/>
  <c r="Q584" i="6"/>
  <c r="P584" i="6"/>
  <c r="O584" i="6"/>
  <c r="N584" i="6"/>
  <c r="L584" i="6"/>
  <c r="K584" i="6"/>
  <c r="P583" i="6"/>
  <c r="O583" i="6"/>
  <c r="N583" i="6"/>
  <c r="M583" i="6"/>
  <c r="I583" i="6"/>
  <c r="Q583" i="6" s="1"/>
  <c r="P582" i="6"/>
  <c r="N582" i="6"/>
  <c r="M582" i="6"/>
  <c r="L582" i="6"/>
  <c r="I582" i="6"/>
  <c r="Q582" i="6" s="1"/>
  <c r="Q581" i="6"/>
  <c r="O581" i="6"/>
  <c r="N581" i="6"/>
  <c r="M581" i="6"/>
  <c r="L581" i="6"/>
  <c r="K581" i="6"/>
  <c r="P580" i="6"/>
  <c r="N580" i="6"/>
  <c r="M580" i="6"/>
  <c r="L580" i="6"/>
  <c r="I580" i="6"/>
  <c r="P579" i="6"/>
  <c r="N579" i="6"/>
  <c r="M579" i="6"/>
  <c r="L579" i="6"/>
  <c r="I579" i="6"/>
  <c r="K579" i="6" s="1"/>
  <c r="P578" i="6"/>
  <c r="N578" i="6"/>
  <c r="M578" i="6"/>
  <c r="L578" i="6"/>
  <c r="I578" i="6"/>
  <c r="Q578" i="6" s="1"/>
  <c r="P577" i="6"/>
  <c r="N577" i="6"/>
  <c r="M577" i="6"/>
  <c r="L577" i="6"/>
  <c r="I577" i="6"/>
  <c r="Q577" i="6" s="1"/>
  <c r="P576" i="6"/>
  <c r="O576" i="6"/>
  <c r="N576" i="6"/>
  <c r="M576" i="6"/>
  <c r="I576" i="6"/>
  <c r="K576" i="6" s="1"/>
  <c r="S576" i="6" s="1"/>
  <c r="P575" i="6"/>
  <c r="O575" i="6"/>
  <c r="N575" i="6"/>
  <c r="M575" i="6"/>
  <c r="I575" i="6"/>
  <c r="Q575" i="6" s="1"/>
  <c r="P574" i="6"/>
  <c r="O574" i="6"/>
  <c r="N574" i="6"/>
  <c r="M574" i="6"/>
  <c r="I574" i="6"/>
  <c r="K574" i="6" s="1"/>
  <c r="P573" i="6"/>
  <c r="O573" i="6"/>
  <c r="N573" i="6"/>
  <c r="M573" i="6"/>
  <c r="I573" i="6"/>
  <c r="Q573" i="6" s="1"/>
  <c r="P572" i="6"/>
  <c r="N572" i="6"/>
  <c r="M572" i="6"/>
  <c r="L572" i="6"/>
  <c r="I572" i="6"/>
  <c r="P571" i="6"/>
  <c r="O571" i="6"/>
  <c r="N571" i="6"/>
  <c r="M571" i="6"/>
  <c r="I571" i="6"/>
  <c r="K571" i="6" s="1"/>
  <c r="P570" i="6"/>
  <c r="N570" i="6"/>
  <c r="M570" i="6"/>
  <c r="L570" i="6"/>
  <c r="I570" i="6"/>
  <c r="K570" i="6" s="1"/>
  <c r="O570" i="6" s="1"/>
  <c r="P569" i="6"/>
  <c r="N569" i="6"/>
  <c r="M569" i="6"/>
  <c r="L569" i="6"/>
  <c r="I569" i="6"/>
  <c r="Q569" i="6" s="1"/>
  <c r="P568" i="6"/>
  <c r="O568" i="6"/>
  <c r="N568" i="6"/>
  <c r="M568" i="6"/>
  <c r="I568" i="6"/>
  <c r="Q568" i="6" s="1"/>
  <c r="H568" i="6"/>
  <c r="Q567" i="6"/>
  <c r="P567" i="6"/>
  <c r="O567" i="6"/>
  <c r="N567" i="6"/>
  <c r="L567" i="6"/>
  <c r="K567" i="6"/>
  <c r="Q566" i="6"/>
  <c r="P566" i="6"/>
  <c r="O566" i="6"/>
  <c r="N566" i="6"/>
  <c r="L566" i="6"/>
  <c r="K566" i="6"/>
  <c r="Q565" i="6"/>
  <c r="O565" i="6"/>
  <c r="N565" i="6"/>
  <c r="M565" i="6"/>
  <c r="L565" i="6"/>
  <c r="K565" i="6"/>
  <c r="Q564" i="6"/>
  <c r="O564" i="6"/>
  <c r="N564" i="6"/>
  <c r="M564" i="6"/>
  <c r="L564" i="6"/>
  <c r="K564" i="6"/>
  <c r="S564" i="6" s="1"/>
  <c r="P563" i="6"/>
  <c r="O563" i="6"/>
  <c r="N563" i="6"/>
  <c r="M563" i="6"/>
  <c r="I563" i="6"/>
  <c r="Q563" i="6" s="1"/>
  <c r="H563" i="6"/>
  <c r="Q562" i="6"/>
  <c r="P562" i="6"/>
  <c r="O562" i="6"/>
  <c r="N562" i="6"/>
  <c r="L562" i="6"/>
  <c r="K562" i="6"/>
  <c r="P561" i="6"/>
  <c r="N561" i="6"/>
  <c r="M561" i="6"/>
  <c r="L561" i="6"/>
  <c r="I561" i="6"/>
  <c r="Q561" i="6" s="1"/>
  <c r="Q560" i="6"/>
  <c r="P560" i="6"/>
  <c r="O560" i="6"/>
  <c r="N560" i="6"/>
  <c r="L560" i="6"/>
  <c r="K560" i="6"/>
  <c r="S560" i="6" s="1"/>
  <c r="O559" i="6"/>
  <c r="N559" i="6"/>
  <c r="M559" i="6"/>
  <c r="L559" i="6"/>
  <c r="I559" i="6"/>
  <c r="Q559" i="6" s="1"/>
  <c r="Q558" i="6"/>
  <c r="O558" i="6"/>
  <c r="N558" i="6"/>
  <c r="M558" i="6"/>
  <c r="L558" i="6"/>
  <c r="K558" i="6"/>
  <c r="S558" i="6" s="1"/>
  <c r="P557" i="6"/>
  <c r="O557" i="6"/>
  <c r="N557" i="6"/>
  <c r="M557" i="6"/>
  <c r="I557" i="6"/>
  <c r="Q557" i="6" s="1"/>
  <c r="H557" i="6"/>
  <c r="P556" i="6"/>
  <c r="O556" i="6"/>
  <c r="N556" i="6"/>
  <c r="M556" i="6"/>
  <c r="I556" i="6"/>
  <c r="Q556" i="6" s="1"/>
  <c r="P555" i="6"/>
  <c r="O555" i="6"/>
  <c r="N555" i="6"/>
  <c r="M555" i="6"/>
  <c r="I555" i="6"/>
  <c r="Q555" i="6" s="1"/>
  <c r="H555" i="6"/>
  <c r="Q554" i="6"/>
  <c r="O554" i="6"/>
  <c r="N554" i="6"/>
  <c r="M554" i="6"/>
  <c r="L554" i="6"/>
  <c r="K554" i="6"/>
  <c r="P554" i="6" s="1"/>
  <c r="P553" i="6"/>
  <c r="O553" i="6"/>
  <c r="N553" i="6"/>
  <c r="M553" i="6"/>
  <c r="I553" i="6"/>
  <c r="Q553" i="6" s="1"/>
  <c r="H553" i="6"/>
  <c r="P552" i="6"/>
  <c r="O552" i="6"/>
  <c r="N552" i="6"/>
  <c r="M552" i="6"/>
  <c r="I552" i="6"/>
  <c r="Q552" i="6" s="1"/>
  <c r="H552" i="6"/>
  <c r="Q551" i="6"/>
  <c r="P551" i="6"/>
  <c r="O551" i="6"/>
  <c r="N551" i="6"/>
  <c r="L551" i="6"/>
  <c r="K551" i="6"/>
  <c r="M551" i="6" s="1"/>
  <c r="P550" i="6"/>
  <c r="O550" i="6"/>
  <c r="N550" i="6"/>
  <c r="M550" i="6"/>
  <c r="I550" i="6"/>
  <c r="Q550" i="6" s="1"/>
  <c r="H550" i="6"/>
  <c r="Q549" i="6"/>
  <c r="P549" i="6"/>
  <c r="O549" i="6"/>
  <c r="N549" i="6"/>
  <c r="L549" i="6"/>
  <c r="K549" i="6"/>
  <c r="Q548" i="6"/>
  <c r="P548" i="6"/>
  <c r="O548" i="6"/>
  <c r="N548" i="6"/>
  <c r="L548" i="6"/>
  <c r="K548" i="6"/>
  <c r="S548" i="6" s="1"/>
  <c r="P547" i="6"/>
  <c r="O547" i="6"/>
  <c r="N547" i="6"/>
  <c r="M547" i="6"/>
  <c r="I547" i="6"/>
  <c r="Q547" i="6" s="1"/>
  <c r="H547" i="6"/>
  <c r="Q546" i="6"/>
  <c r="P546" i="6"/>
  <c r="O546" i="6"/>
  <c r="N546" i="6"/>
  <c r="L546" i="6"/>
  <c r="K546" i="6"/>
  <c r="M546" i="6" s="1"/>
  <c r="Q545" i="6"/>
  <c r="P545" i="6"/>
  <c r="O545" i="6"/>
  <c r="M545" i="6"/>
  <c r="L545" i="6"/>
  <c r="K545" i="6"/>
  <c r="S545" i="6" s="1"/>
  <c r="Q544" i="6"/>
  <c r="P544" i="6"/>
  <c r="O544" i="6"/>
  <c r="N544" i="6"/>
  <c r="L544" i="6"/>
  <c r="K544" i="6"/>
  <c r="M544" i="6" s="1"/>
  <c r="Q543" i="6"/>
  <c r="O543" i="6"/>
  <c r="N543" i="6"/>
  <c r="M543" i="6"/>
  <c r="L543" i="6"/>
  <c r="K543" i="6"/>
  <c r="P543" i="6" s="1"/>
  <c r="P542" i="6"/>
  <c r="O542" i="6"/>
  <c r="N542" i="6"/>
  <c r="M542" i="6"/>
  <c r="I542" i="6"/>
  <c r="Q542" i="6" s="1"/>
  <c r="H542" i="6"/>
  <c r="P541" i="6"/>
  <c r="O541" i="6"/>
  <c r="N541" i="6"/>
  <c r="M541" i="6"/>
  <c r="I541" i="6"/>
  <c r="K541" i="6" s="1"/>
  <c r="Q540" i="6"/>
  <c r="P540" i="6"/>
  <c r="O540" i="6"/>
  <c r="N540" i="6"/>
  <c r="L540" i="6"/>
  <c r="K540" i="6"/>
  <c r="M540" i="6" s="1"/>
  <c r="Q539" i="6"/>
  <c r="P539" i="6"/>
  <c r="O539" i="6"/>
  <c r="M539" i="6"/>
  <c r="L539" i="6"/>
  <c r="K539" i="6"/>
  <c r="P538" i="6"/>
  <c r="O538" i="6"/>
  <c r="N538" i="6"/>
  <c r="M538" i="6"/>
  <c r="I538" i="6"/>
  <c r="K538" i="6" s="1"/>
  <c r="L538" i="6" s="1"/>
  <c r="P537" i="6"/>
  <c r="O537" i="6"/>
  <c r="N537" i="6"/>
  <c r="M537" i="6"/>
  <c r="I537" i="6"/>
  <c r="P536" i="6"/>
  <c r="O536" i="6"/>
  <c r="N536" i="6"/>
  <c r="M536" i="6"/>
  <c r="I536" i="6"/>
  <c r="Q536" i="6" s="1"/>
  <c r="P535" i="6"/>
  <c r="O535" i="6"/>
  <c r="N535" i="6"/>
  <c r="M535" i="6"/>
  <c r="I535" i="6"/>
  <c r="Q535" i="6" s="1"/>
  <c r="Q534" i="6"/>
  <c r="P534" i="6"/>
  <c r="O534" i="6"/>
  <c r="N534" i="6"/>
  <c r="L534" i="6"/>
  <c r="K534" i="6"/>
  <c r="M534" i="6" s="1"/>
  <c r="Q533" i="6"/>
  <c r="P533" i="6"/>
  <c r="O533" i="6"/>
  <c r="M533" i="6"/>
  <c r="L533" i="6"/>
  <c r="K533" i="6"/>
  <c r="S533" i="6" s="1"/>
  <c r="Q532" i="6"/>
  <c r="O532" i="6"/>
  <c r="N532" i="6"/>
  <c r="M532" i="6"/>
  <c r="L532" i="6"/>
  <c r="K532" i="6"/>
  <c r="P532" i="6" s="1"/>
  <c r="Q531" i="6"/>
  <c r="O531" i="6"/>
  <c r="N531" i="6"/>
  <c r="M531" i="6"/>
  <c r="L531" i="6"/>
  <c r="K531" i="6"/>
  <c r="P531" i="6" s="1"/>
  <c r="Q530" i="6"/>
  <c r="O530" i="6"/>
  <c r="N530" i="6"/>
  <c r="M530" i="6"/>
  <c r="L530" i="6"/>
  <c r="K530" i="6"/>
  <c r="P530" i="6" s="1"/>
  <c r="Q529" i="6"/>
  <c r="P529" i="6"/>
  <c r="O529" i="6"/>
  <c r="M529" i="6"/>
  <c r="L529" i="6"/>
  <c r="K529" i="6"/>
  <c r="S529" i="6" s="1"/>
  <c r="Q528" i="6"/>
  <c r="P528" i="6"/>
  <c r="O528" i="6"/>
  <c r="N528" i="6"/>
  <c r="L528" i="6"/>
  <c r="K528" i="6"/>
  <c r="M528" i="6" s="1"/>
  <c r="Q527" i="6"/>
  <c r="P527" i="6"/>
  <c r="O527" i="6"/>
  <c r="M527" i="6"/>
  <c r="L527" i="6"/>
  <c r="K527" i="6"/>
  <c r="S527" i="6" s="1"/>
  <c r="Q526" i="6"/>
  <c r="P526" i="6"/>
  <c r="O526" i="6"/>
  <c r="N526" i="6"/>
  <c r="L526" i="6"/>
  <c r="K526" i="6"/>
  <c r="M526" i="6" s="1"/>
  <c r="P525" i="6"/>
  <c r="O525" i="6"/>
  <c r="N525" i="6"/>
  <c r="M525" i="6"/>
  <c r="I525" i="6"/>
  <c r="Q524" i="6"/>
  <c r="P524" i="6"/>
  <c r="O524" i="6"/>
  <c r="N524" i="6"/>
  <c r="L524" i="6"/>
  <c r="K524" i="6"/>
  <c r="Q523" i="6"/>
  <c r="P523" i="6"/>
  <c r="O523" i="6"/>
  <c r="M523" i="6"/>
  <c r="L523" i="6"/>
  <c r="K523" i="6"/>
  <c r="S523" i="6" s="1"/>
  <c r="P522" i="6"/>
  <c r="O522" i="6"/>
  <c r="N522" i="6"/>
  <c r="M522" i="6"/>
  <c r="I522" i="6"/>
  <c r="Q521" i="6"/>
  <c r="P521" i="6"/>
  <c r="O521" i="6"/>
  <c r="N521" i="6"/>
  <c r="L521" i="6"/>
  <c r="K521" i="6"/>
  <c r="Q520" i="6"/>
  <c r="P520" i="6"/>
  <c r="O520" i="6"/>
  <c r="M520" i="6"/>
  <c r="L520" i="6"/>
  <c r="K520" i="6"/>
  <c r="Q519" i="6"/>
  <c r="P519" i="6"/>
  <c r="O519" i="6"/>
  <c r="N519" i="6"/>
  <c r="L519" i="6"/>
  <c r="K519" i="6"/>
  <c r="Q518" i="6"/>
  <c r="P518" i="6"/>
  <c r="O518" i="6"/>
  <c r="N518" i="6"/>
  <c r="L518" i="6"/>
  <c r="K518" i="6"/>
  <c r="Q517" i="6"/>
  <c r="P517" i="6"/>
  <c r="O517" i="6"/>
  <c r="N517" i="6"/>
  <c r="L517" i="6"/>
  <c r="K517" i="6"/>
  <c r="P516" i="6"/>
  <c r="O516" i="6"/>
  <c r="N516" i="6"/>
  <c r="M516" i="6"/>
  <c r="I516" i="6"/>
  <c r="Q516" i="6" s="1"/>
  <c r="H516" i="6"/>
  <c r="P515" i="6"/>
  <c r="O515" i="6"/>
  <c r="N515" i="6"/>
  <c r="M515" i="6"/>
  <c r="I515" i="6"/>
  <c r="K515" i="6" s="1"/>
  <c r="P514" i="6"/>
  <c r="O514" i="6"/>
  <c r="N514" i="6"/>
  <c r="M514" i="6"/>
  <c r="I514" i="6"/>
  <c r="Q514" i="6" s="1"/>
  <c r="P513" i="6"/>
  <c r="O513" i="6"/>
  <c r="N513" i="6"/>
  <c r="M513" i="6"/>
  <c r="I513" i="6"/>
  <c r="Q513" i="6" s="1"/>
  <c r="P512" i="6"/>
  <c r="O512" i="6"/>
  <c r="N512" i="6"/>
  <c r="M512" i="6"/>
  <c r="I512" i="6"/>
  <c r="Q512" i="6" s="1"/>
  <c r="P511" i="6"/>
  <c r="O511" i="6"/>
  <c r="N511" i="6"/>
  <c r="M511" i="6"/>
  <c r="I511" i="6"/>
  <c r="K511" i="6" s="1"/>
  <c r="L511" i="6" s="1"/>
  <c r="P510" i="6"/>
  <c r="N510" i="6"/>
  <c r="M510" i="6"/>
  <c r="L510" i="6"/>
  <c r="I510" i="6"/>
  <c r="Q510" i="6" s="1"/>
  <c r="P509" i="6"/>
  <c r="O509" i="6"/>
  <c r="N509" i="6"/>
  <c r="M509" i="6"/>
  <c r="I509" i="6"/>
  <c r="P508" i="6"/>
  <c r="O508" i="6"/>
  <c r="N508" i="6"/>
  <c r="M508" i="6"/>
  <c r="I508" i="6"/>
  <c r="P507" i="6"/>
  <c r="O507" i="6"/>
  <c r="N507" i="6"/>
  <c r="M507" i="6"/>
  <c r="I507" i="6"/>
  <c r="P506" i="6"/>
  <c r="O506" i="6"/>
  <c r="N506" i="6"/>
  <c r="M506" i="6"/>
  <c r="I506" i="6"/>
  <c r="Q506" i="6" s="1"/>
  <c r="P505" i="6"/>
  <c r="O505" i="6"/>
  <c r="N505" i="6"/>
  <c r="M505" i="6"/>
  <c r="I505" i="6"/>
  <c r="Q505" i="6" s="1"/>
  <c r="Q504" i="6"/>
  <c r="P504" i="6"/>
  <c r="O504" i="6"/>
  <c r="N504" i="6"/>
  <c r="L504" i="6"/>
  <c r="K504" i="6"/>
  <c r="S504" i="6" s="1"/>
  <c r="O503" i="6"/>
  <c r="N503" i="6"/>
  <c r="M503" i="6"/>
  <c r="L503" i="6"/>
  <c r="I503" i="6"/>
  <c r="Q503" i="6" s="1"/>
  <c r="Q502" i="6"/>
  <c r="O502" i="6"/>
  <c r="N502" i="6"/>
  <c r="M502" i="6"/>
  <c r="L502" i="6"/>
  <c r="K502" i="6"/>
  <c r="S502" i="6" s="1"/>
  <c r="Q501" i="6"/>
  <c r="O501" i="6"/>
  <c r="N501" i="6"/>
  <c r="M501" i="6"/>
  <c r="L501" i="6"/>
  <c r="K501" i="6"/>
  <c r="S501" i="6" s="1"/>
  <c r="P500" i="6"/>
  <c r="O500" i="6"/>
  <c r="N500" i="6"/>
  <c r="M500" i="6"/>
  <c r="I500" i="6"/>
  <c r="P499" i="6"/>
  <c r="N499" i="6"/>
  <c r="M499" i="6"/>
  <c r="L499" i="6"/>
  <c r="I499" i="6"/>
  <c r="Q499" i="6" s="1"/>
  <c r="P498" i="6"/>
  <c r="N498" i="6"/>
  <c r="M498" i="6"/>
  <c r="L498" i="6"/>
  <c r="I498" i="6"/>
  <c r="P497" i="6"/>
  <c r="O497" i="6"/>
  <c r="N497" i="6"/>
  <c r="M497" i="6"/>
  <c r="I497" i="6"/>
  <c r="P496" i="6"/>
  <c r="O496" i="6"/>
  <c r="N496" i="6"/>
  <c r="M496" i="6"/>
  <c r="I496" i="6"/>
  <c r="Q496" i="6" s="1"/>
  <c r="H496" i="6"/>
  <c r="P495" i="6"/>
  <c r="O495" i="6"/>
  <c r="N495" i="6"/>
  <c r="M495" i="6"/>
  <c r="I495" i="6"/>
  <c r="H495" i="6"/>
  <c r="Q494" i="6"/>
  <c r="P494" i="6"/>
  <c r="O494" i="6"/>
  <c r="N494" i="6"/>
  <c r="L494" i="6"/>
  <c r="K494" i="6"/>
  <c r="S494" i="6" s="1"/>
  <c r="P493" i="6"/>
  <c r="O493" i="6"/>
  <c r="N493" i="6"/>
  <c r="M493" i="6"/>
  <c r="I493" i="6"/>
  <c r="K493" i="6" s="1"/>
  <c r="L493" i="6" s="1"/>
  <c r="P492" i="6"/>
  <c r="O492" i="6"/>
  <c r="N492" i="6"/>
  <c r="M492" i="6"/>
  <c r="I492" i="6"/>
  <c r="Q492" i="6" s="1"/>
  <c r="P491" i="6"/>
  <c r="O491" i="6"/>
  <c r="N491" i="6"/>
  <c r="M491" i="6"/>
  <c r="I491" i="6"/>
  <c r="Q491" i="6" s="1"/>
  <c r="P490" i="6"/>
  <c r="O490" i="6"/>
  <c r="N490" i="6"/>
  <c r="M490" i="6"/>
  <c r="I490" i="6"/>
  <c r="Q490" i="6" s="1"/>
  <c r="P489" i="6"/>
  <c r="O489" i="6"/>
  <c r="N489" i="6"/>
  <c r="M489" i="6"/>
  <c r="I489" i="6"/>
  <c r="K489" i="6" s="1"/>
  <c r="L489" i="6" s="1"/>
  <c r="P488" i="6"/>
  <c r="N488" i="6"/>
  <c r="M488" i="6"/>
  <c r="L488" i="6"/>
  <c r="I488" i="6"/>
  <c r="Q488" i="6" s="1"/>
  <c r="P487" i="6"/>
  <c r="O487" i="6"/>
  <c r="N487" i="6"/>
  <c r="M487" i="6"/>
  <c r="I487" i="6"/>
  <c r="Q487" i="6" s="1"/>
  <c r="P486" i="6"/>
  <c r="O486" i="6"/>
  <c r="N486" i="6"/>
  <c r="M486" i="6"/>
  <c r="I486" i="6"/>
  <c r="Q486" i="6" s="1"/>
  <c r="P485" i="6"/>
  <c r="O485" i="6"/>
  <c r="N485" i="6"/>
  <c r="M485" i="6"/>
  <c r="I485" i="6"/>
  <c r="K485" i="6" s="1"/>
  <c r="P484" i="6"/>
  <c r="O484" i="6"/>
  <c r="N484" i="6"/>
  <c r="M484" i="6"/>
  <c r="I484" i="6"/>
  <c r="Q484" i="6" s="1"/>
  <c r="P483" i="6"/>
  <c r="O483" i="6"/>
  <c r="N483" i="6"/>
  <c r="M483" i="6"/>
  <c r="I483" i="6"/>
  <c r="Q482" i="6"/>
  <c r="P482" i="6"/>
  <c r="O482" i="6"/>
  <c r="N482" i="6"/>
  <c r="L482" i="6"/>
  <c r="K482" i="6"/>
  <c r="S482" i="6" s="1"/>
  <c r="O481" i="6"/>
  <c r="N481" i="6"/>
  <c r="M481" i="6"/>
  <c r="L481" i="6"/>
  <c r="I481" i="6"/>
  <c r="Q481" i="6" s="1"/>
  <c r="Q480" i="6"/>
  <c r="O480" i="6"/>
  <c r="N480" i="6"/>
  <c r="M480" i="6"/>
  <c r="L480" i="6"/>
  <c r="K480" i="6"/>
  <c r="S480" i="6" s="1"/>
  <c r="Q479" i="6"/>
  <c r="O479" i="6"/>
  <c r="N479" i="6"/>
  <c r="M479" i="6"/>
  <c r="L479" i="6"/>
  <c r="K479" i="6"/>
  <c r="S479" i="6" s="1"/>
  <c r="P478" i="6"/>
  <c r="O478" i="6"/>
  <c r="N478" i="6"/>
  <c r="M478" i="6"/>
  <c r="I478" i="6"/>
  <c r="K478" i="6" s="1"/>
  <c r="L478" i="6" s="1"/>
  <c r="Q477" i="6"/>
  <c r="O477" i="6"/>
  <c r="N477" i="6"/>
  <c r="M477" i="6"/>
  <c r="L477" i="6"/>
  <c r="K477" i="6"/>
  <c r="P477" i="6" s="1"/>
  <c r="Q476" i="6"/>
  <c r="O476" i="6"/>
  <c r="N476" i="6"/>
  <c r="M476" i="6"/>
  <c r="L476" i="6"/>
  <c r="K476" i="6"/>
  <c r="P476" i="6" s="1"/>
  <c r="P475" i="6"/>
  <c r="O475" i="6"/>
  <c r="N475" i="6"/>
  <c r="M475" i="6"/>
  <c r="I475" i="6"/>
  <c r="Q475" i="6" s="1"/>
  <c r="H475" i="6"/>
  <c r="Q474" i="6"/>
  <c r="O474" i="6"/>
  <c r="N474" i="6"/>
  <c r="M474" i="6"/>
  <c r="L474" i="6"/>
  <c r="K474" i="6"/>
  <c r="S474" i="6" s="1"/>
  <c r="P473" i="6"/>
  <c r="N473" i="6"/>
  <c r="M473" i="6"/>
  <c r="L473" i="6"/>
  <c r="I473" i="6"/>
  <c r="K473" i="6" s="1"/>
  <c r="S473" i="6" s="1"/>
  <c r="Q472" i="6"/>
  <c r="O472" i="6"/>
  <c r="N472" i="6"/>
  <c r="M472" i="6"/>
  <c r="L472" i="6"/>
  <c r="K472" i="6"/>
  <c r="S472" i="6" s="1"/>
  <c r="P471" i="6"/>
  <c r="O471" i="6"/>
  <c r="N471" i="6"/>
  <c r="M471" i="6"/>
  <c r="I471" i="6"/>
  <c r="Q471" i="6" s="1"/>
  <c r="H471" i="6"/>
  <c r="Q470" i="6"/>
  <c r="O470" i="6"/>
  <c r="N470" i="6"/>
  <c r="M470" i="6"/>
  <c r="L470" i="6"/>
  <c r="K470" i="6"/>
  <c r="S470" i="6" s="1"/>
  <c r="P469" i="6"/>
  <c r="O469" i="6"/>
  <c r="N469" i="6"/>
  <c r="M469" i="6"/>
  <c r="I469" i="6"/>
  <c r="Q469" i="6" s="1"/>
  <c r="H469" i="6"/>
  <c r="P468" i="6"/>
  <c r="O468" i="6"/>
  <c r="N468" i="6"/>
  <c r="M468" i="6"/>
  <c r="I468" i="6"/>
  <c r="K468" i="6" s="1"/>
  <c r="L468" i="6" s="1"/>
  <c r="Q467" i="6"/>
  <c r="O467" i="6"/>
  <c r="N467" i="6"/>
  <c r="M467" i="6"/>
  <c r="L467" i="6"/>
  <c r="K467" i="6"/>
  <c r="P467" i="6" s="1"/>
  <c r="Q466" i="6"/>
  <c r="P466" i="6"/>
  <c r="O466" i="6"/>
  <c r="N466" i="6"/>
  <c r="L466" i="6"/>
  <c r="K466" i="6"/>
  <c r="M466" i="6" s="1"/>
  <c r="Q465" i="6"/>
  <c r="O465" i="6"/>
  <c r="N465" i="6"/>
  <c r="M465" i="6"/>
  <c r="L465" i="6"/>
  <c r="K465" i="6"/>
  <c r="P464" i="6"/>
  <c r="O464" i="6"/>
  <c r="N464" i="6"/>
  <c r="M464" i="6"/>
  <c r="I464" i="6"/>
  <c r="Q464" i="6" s="1"/>
  <c r="P463" i="6"/>
  <c r="O463" i="6"/>
  <c r="N463" i="6"/>
  <c r="M463" i="6"/>
  <c r="I463" i="6"/>
  <c r="Q462" i="6"/>
  <c r="O462" i="6"/>
  <c r="N462" i="6"/>
  <c r="M462" i="6"/>
  <c r="L462" i="6"/>
  <c r="K462" i="6"/>
  <c r="S462" i="6" s="1"/>
  <c r="P461" i="6"/>
  <c r="O461" i="6"/>
  <c r="N461" i="6"/>
  <c r="M461" i="6"/>
  <c r="I461" i="6"/>
  <c r="Q461" i="6" s="1"/>
  <c r="H461" i="6"/>
  <c r="Q460" i="6"/>
  <c r="O460" i="6"/>
  <c r="N460" i="6"/>
  <c r="M460" i="6"/>
  <c r="L460" i="6"/>
  <c r="K460" i="6"/>
  <c r="P460" i="6" s="1"/>
  <c r="P459" i="6"/>
  <c r="O459" i="6"/>
  <c r="N459" i="6"/>
  <c r="M459" i="6"/>
  <c r="I459" i="6"/>
  <c r="Q459" i="6" s="1"/>
  <c r="Q458" i="6"/>
  <c r="O458" i="6"/>
  <c r="N458" i="6"/>
  <c r="M458" i="6"/>
  <c r="L458" i="6"/>
  <c r="K458" i="6"/>
  <c r="P457" i="6"/>
  <c r="O457" i="6"/>
  <c r="N457" i="6"/>
  <c r="M457" i="6"/>
  <c r="I457" i="6"/>
  <c r="P456" i="6"/>
  <c r="O456" i="6"/>
  <c r="N456" i="6"/>
  <c r="M456" i="6"/>
  <c r="I456" i="6"/>
  <c r="P455" i="6"/>
  <c r="O455" i="6"/>
  <c r="N455" i="6"/>
  <c r="M455" i="6"/>
  <c r="I455" i="6"/>
  <c r="Q455" i="6" s="1"/>
  <c r="H455" i="6"/>
  <c r="P454" i="6"/>
  <c r="O454" i="6"/>
  <c r="N454" i="6"/>
  <c r="M454" i="6"/>
  <c r="I454" i="6"/>
  <c r="Q454" i="6" s="1"/>
  <c r="P453" i="6"/>
  <c r="O453" i="6"/>
  <c r="N453" i="6"/>
  <c r="M453" i="6"/>
  <c r="I453" i="6"/>
  <c r="H453" i="6"/>
  <c r="Q452" i="6"/>
  <c r="O452" i="6"/>
  <c r="N452" i="6"/>
  <c r="M452" i="6"/>
  <c r="L452" i="6"/>
  <c r="K452" i="6"/>
  <c r="P452" i="6" s="1"/>
  <c r="Q451" i="6"/>
  <c r="O451" i="6"/>
  <c r="N451" i="6"/>
  <c r="M451" i="6"/>
  <c r="L451" i="6"/>
  <c r="K451" i="6"/>
  <c r="P451" i="6" s="1"/>
  <c r="P450" i="6"/>
  <c r="O450" i="6"/>
  <c r="N450" i="6"/>
  <c r="M450" i="6"/>
  <c r="I450" i="6"/>
  <c r="K450" i="6" s="1"/>
  <c r="L450" i="6" s="1"/>
  <c r="P449" i="6"/>
  <c r="O449" i="6"/>
  <c r="N449" i="6"/>
  <c r="M449" i="6"/>
  <c r="I449" i="6"/>
  <c r="Q449" i="6" s="1"/>
  <c r="P448" i="6"/>
  <c r="O448" i="6"/>
  <c r="N448" i="6"/>
  <c r="M448" i="6"/>
  <c r="I448" i="6"/>
  <c r="H448" i="6"/>
  <c r="Q447" i="6"/>
  <c r="P447" i="6"/>
  <c r="O447" i="6"/>
  <c r="N447" i="6"/>
  <c r="L447" i="6"/>
  <c r="K447" i="6"/>
  <c r="S447" i="6" s="1"/>
  <c r="Q446" i="6"/>
  <c r="P446" i="6"/>
  <c r="O446" i="6"/>
  <c r="M446" i="6"/>
  <c r="L446" i="6"/>
  <c r="K446" i="6"/>
  <c r="S446" i="6" s="1"/>
  <c r="Q445" i="6"/>
  <c r="P445" i="6"/>
  <c r="O445" i="6"/>
  <c r="N445" i="6"/>
  <c r="L445" i="6"/>
  <c r="K445" i="6"/>
  <c r="S445" i="6" s="1"/>
  <c r="P444" i="6"/>
  <c r="O444" i="6"/>
  <c r="N444" i="6"/>
  <c r="M444" i="6"/>
  <c r="I444" i="6"/>
  <c r="K444" i="6" s="1"/>
  <c r="L444" i="6" s="1"/>
  <c r="Q443" i="6"/>
  <c r="P443" i="6"/>
  <c r="O443" i="6"/>
  <c r="M443" i="6"/>
  <c r="L443" i="6"/>
  <c r="K443" i="6"/>
  <c r="P442" i="6"/>
  <c r="O442" i="6"/>
  <c r="N442" i="6"/>
  <c r="M442" i="6"/>
  <c r="I442" i="6"/>
  <c r="Q442" i="6" s="1"/>
  <c r="P441" i="6"/>
  <c r="O441" i="6"/>
  <c r="N441" i="6"/>
  <c r="M441" i="6"/>
  <c r="I441" i="6"/>
  <c r="K441" i="6" s="1"/>
  <c r="S441" i="6" s="1"/>
  <c r="P440" i="6"/>
  <c r="O440" i="6"/>
  <c r="N440" i="6"/>
  <c r="M440" i="6"/>
  <c r="I440" i="6"/>
  <c r="K440" i="6" s="1"/>
  <c r="Q439" i="6"/>
  <c r="P439" i="6"/>
  <c r="O439" i="6"/>
  <c r="N439" i="6"/>
  <c r="L439" i="6"/>
  <c r="K439" i="6"/>
  <c r="S439" i="6" s="1"/>
  <c r="P438" i="6"/>
  <c r="O438" i="6"/>
  <c r="N438" i="6"/>
  <c r="M438" i="6"/>
  <c r="I438" i="6"/>
  <c r="P437" i="6"/>
  <c r="O437" i="6"/>
  <c r="N437" i="6"/>
  <c r="M437" i="6"/>
  <c r="I437" i="6"/>
  <c r="Q437" i="6" s="1"/>
  <c r="Q436" i="6"/>
  <c r="P436" i="6"/>
  <c r="O436" i="6"/>
  <c r="N436" i="6"/>
  <c r="L436" i="6"/>
  <c r="K436" i="6"/>
  <c r="S436" i="6" s="1"/>
  <c r="P435" i="6"/>
  <c r="O435" i="6"/>
  <c r="N435" i="6"/>
  <c r="M435" i="6"/>
  <c r="I435" i="6"/>
  <c r="Q435" i="6" s="1"/>
  <c r="H435" i="6"/>
  <c r="Q434" i="6"/>
  <c r="P434" i="6"/>
  <c r="O434" i="6"/>
  <c r="N434" i="6"/>
  <c r="L434" i="6"/>
  <c r="K434" i="6"/>
  <c r="S434" i="6" s="1"/>
  <c r="P433" i="6"/>
  <c r="O433" i="6"/>
  <c r="N433" i="6"/>
  <c r="M433" i="6"/>
  <c r="I433" i="6"/>
  <c r="Q433" i="6" s="1"/>
  <c r="Q432" i="6"/>
  <c r="O432" i="6"/>
  <c r="N432" i="6"/>
  <c r="M432" i="6"/>
  <c r="L432" i="6"/>
  <c r="K432" i="6"/>
  <c r="Q431" i="6"/>
  <c r="O431" i="6"/>
  <c r="N431" i="6"/>
  <c r="M431" i="6"/>
  <c r="L431" i="6"/>
  <c r="K431" i="6"/>
  <c r="S431" i="6" s="1"/>
  <c r="Q430" i="6"/>
  <c r="O430" i="6"/>
  <c r="N430" i="6"/>
  <c r="M430" i="6"/>
  <c r="L430" i="6"/>
  <c r="K430" i="6"/>
  <c r="P429" i="6"/>
  <c r="O429" i="6"/>
  <c r="N429" i="6"/>
  <c r="M429" i="6"/>
  <c r="I429" i="6"/>
  <c r="Q429" i="6" s="1"/>
  <c r="P428" i="6"/>
  <c r="O428" i="6"/>
  <c r="N428" i="6"/>
  <c r="M428" i="6"/>
  <c r="I428" i="6"/>
  <c r="K428" i="6" s="1"/>
  <c r="S428" i="6" s="1"/>
  <c r="P427" i="6"/>
  <c r="O427" i="6"/>
  <c r="N427" i="6"/>
  <c r="M427" i="6"/>
  <c r="I427" i="6"/>
  <c r="K427" i="6" s="1"/>
  <c r="P426" i="6"/>
  <c r="O426" i="6"/>
  <c r="N426" i="6"/>
  <c r="M426" i="6"/>
  <c r="I426" i="6"/>
  <c r="K426" i="6" s="1"/>
  <c r="L426" i="6" s="1"/>
  <c r="P425" i="6"/>
  <c r="O425" i="6"/>
  <c r="N425" i="6"/>
  <c r="M425" i="6"/>
  <c r="I425" i="6"/>
  <c r="Q425" i="6" s="1"/>
  <c r="P424" i="6"/>
  <c r="O424" i="6"/>
  <c r="N424" i="6"/>
  <c r="M424" i="6"/>
  <c r="I424" i="6"/>
  <c r="K424" i="6" s="1"/>
  <c r="S424" i="6" s="1"/>
  <c r="Q423" i="6"/>
  <c r="O423" i="6"/>
  <c r="N423" i="6"/>
  <c r="M423" i="6"/>
  <c r="L423" i="6"/>
  <c r="K423" i="6"/>
  <c r="S423" i="6" s="1"/>
  <c r="P422" i="6"/>
  <c r="O422" i="6"/>
  <c r="N422" i="6"/>
  <c r="M422" i="6"/>
  <c r="I422" i="6"/>
  <c r="K422" i="6" s="1"/>
  <c r="P421" i="6"/>
  <c r="O421" i="6"/>
  <c r="N421" i="6"/>
  <c r="M421" i="6"/>
  <c r="I421" i="6"/>
  <c r="Q421" i="6" s="1"/>
  <c r="P420" i="6"/>
  <c r="O420" i="6"/>
  <c r="N420" i="6"/>
  <c r="M420" i="6"/>
  <c r="I420" i="6"/>
  <c r="Q420" i="6" s="1"/>
  <c r="P419" i="6"/>
  <c r="O419" i="6"/>
  <c r="N419" i="6"/>
  <c r="M419" i="6"/>
  <c r="I419" i="6"/>
  <c r="Q419" i="6" s="1"/>
  <c r="Q418" i="6"/>
  <c r="O418" i="6"/>
  <c r="N418" i="6"/>
  <c r="M418" i="6"/>
  <c r="L418" i="6"/>
  <c r="K418" i="6"/>
  <c r="Q417" i="6"/>
  <c r="P417" i="6"/>
  <c r="O417" i="6"/>
  <c r="M417" i="6"/>
  <c r="L417" i="6"/>
  <c r="K417" i="6"/>
  <c r="Q416" i="6"/>
  <c r="P416" i="6"/>
  <c r="O416" i="6"/>
  <c r="N416" i="6"/>
  <c r="L416" i="6"/>
  <c r="K416" i="6"/>
  <c r="S416" i="6" s="1"/>
  <c r="Q415" i="6"/>
  <c r="P415" i="6"/>
  <c r="O415" i="6"/>
  <c r="M415" i="6"/>
  <c r="L415" i="6"/>
  <c r="K415" i="6"/>
  <c r="Q414" i="6"/>
  <c r="P414" i="6"/>
  <c r="O414" i="6"/>
  <c r="N414" i="6"/>
  <c r="L414" i="6"/>
  <c r="K414" i="6"/>
  <c r="S414" i="6" s="1"/>
  <c r="Q413" i="6"/>
  <c r="P413" i="6"/>
  <c r="O413" i="6"/>
  <c r="M413" i="6"/>
  <c r="L413" i="6"/>
  <c r="K413" i="6"/>
  <c r="Q412" i="6"/>
  <c r="P412" i="6"/>
  <c r="O412" i="6"/>
  <c r="M412" i="6"/>
  <c r="L412" i="6"/>
  <c r="K412" i="6"/>
  <c r="Q411" i="6"/>
  <c r="P411" i="6"/>
  <c r="O411" i="6"/>
  <c r="M411" i="6"/>
  <c r="L411" i="6"/>
  <c r="K411" i="6"/>
  <c r="Q410" i="6"/>
  <c r="P410" i="6"/>
  <c r="O410" i="6"/>
  <c r="N410" i="6"/>
  <c r="L410" i="6"/>
  <c r="K410" i="6"/>
  <c r="S410" i="6" s="1"/>
  <c r="Q409" i="6"/>
  <c r="P409" i="6"/>
  <c r="O409" i="6"/>
  <c r="N409" i="6"/>
  <c r="L409" i="6"/>
  <c r="K409" i="6"/>
  <c r="S409" i="6" s="1"/>
  <c r="Q408" i="6"/>
  <c r="P408" i="6"/>
  <c r="O408" i="6"/>
  <c r="N408" i="6"/>
  <c r="L408" i="6"/>
  <c r="K408" i="6"/>
  <c r="S408" i="6" s="1"/>
  <c r="Q407" i="6"/>
  <c r="P407" i="6"/>
  <c r="O407" i="6"/>
  <c r="N407" i="6"/>
  <c r="L407" i="6"/>
  <c r="K407" i="6"/>
  <c r="S407" i="6" s="1"/>
  <c r="Q406" i="6"/>
  <c r="P406" i="6"/>
  <c r="O406" i="6"/>
  <c r="N406" i="6"/>
  <c r="L406" i="6"/>
  <c r="K406" i="6"/>
  <c r="S406" i="6" s="1"/>
  <c r="Q405" i="6"/>
  <c r="P405" i="6"/>
  <c r="O405" i="6"/>
  <c r="N405" i="6"/>
  <c r="L405" i="6"/>
  <c r="K405" i="6"/>
  <c r="S405" i="6" s="1"/>
  <c r="Q404" i="6"/>
  <c r="P404" i="6"/>
  <c r="O404" i="6"/>
  <c r="M404" i="6"/>
  <c r="L404" i="6"/>
  <c r="K404" i="6"/>
  <c r="Q403" i="6"/>
  <c r="P403" i="6"/>
  <c r="O403" i="6"/>
  <c r="N403" i="6"/>
  <c r="L403" i="6"/>
  <c r="K403" i="6"/>
  <c r="S403" i="6" s="1"/>
  <c r="Q402" i="6"/>
  <c r="P402" i="6"/>
  <c r="O402" i="6"/>
  <c r="N402" i="6"/>
  <c r="L402" i="6"/>
  <c r="K402" i="6"/>
  <c r="S402" i="6" s="1"/>
  <c r="Q401" i="6"/>
  <c r="P401" i="6"/>
  <c r="O401" i="6"/>
  <c r="N401" i="6"/>
  <c r="L401" i="6"/>
  <c r="K401" i="6"/>
  <c r="S401" i="6" s="1"/>
  <c r="Q400" i="6"/>
  <c r="P400" i="6"/>
  <c r="O400" i="6"/>
  <c r="M400" i="6"/>
  <c r="L400" i="6"/>
  <c r="K400" i="6"/>
  <c r="Q399" i="6"/>
  <c r="O399" i="6"/>
  <c r="N399" i="6"/>
  <c r="M399" i="6"/>
  <c r="L399" i="6"/>
  <c r="K399" i="6"/>
  <c r="S399" i="6" s="1"/>
  <c r="Q398" i="6"/>
  <c r="O398" i="6"/>
  <c r="N398" i="6"/>
  <c r="M398" i="6"/>
  <c r="L398" i="6"/>
  <c r="K398" i="6"/>
  <c r="S398" i="6" s="1"/>
  <c r="Q397" i="6"/>
  <c r="O397" i="6"/>
  <c r="N397" i="6"/>
  <c r="M397" i="6"/>
  <c r="L397" i="6"/>
  <c r="K397" i="6"/>
  <c r="S397" i="6" s="1"/>
  <c r="Q396" i="6"/>
  <c r="P396" i="6"/>
  <c r="O396" i="6"/>
  <c r="N396" i="6"/>
  <c r="L396" i="6"/>
  <c r="K396" i="6"/>
  <c r="S396" i="6" s="1"/>
  <c r="P395" i="6"/>
  <c r="O395" i="6"/>
  <c r="N395" i="6"/>
  <c r="M395" i="6"/>
  <c r="I395" i="6"/>
  <c r="K395" i="6" s="1"/>
  <c r="P394" i="6"/>
  <c r="N394" i="6"/>
  <c r="M394" i="6"/>
  <c r="L394" i="6"/>
  <c r="I394" i="6"/>
  <c r="K394" i="6" s="1"/>
  <c r="O394" i="6" s="1"/>
  <c r="P393" i="6"/>
  <c r="N393" i="6"/>
  <c r="M393" i="6"/>
  <c r="L393" i="6"/>
  <c r="I393" i="6"/>
  <c r="Q393" i="6" s="1"/>
  <c r="P392" i="6"/>
  <c r="N392" i="6"/>
  <c r="M392" i="6"/>
  <c r="L392" i="6"/>
  <c r="I392" i="6"/>
  <c r="K392" i="6" s="1"/>
  <c r="S392" i="6" s="1"/>
  <c r="P391" i="6"/>
  <c r="N391" i="6"/>
  <c r="M391" i="6"/>
  <c r="L391" i="6"/>
  <c r="I391" i="6"/>
  <c r="K391" i="6" s="1"/>
  <c r="P390" i="6"/>
  <c r="O390" i="6"/>
  <c r="N390" i="6"/>
  <c r="M390" i="6"/>
  <c r="I390" i="6"/>
  <c r="K390" i="6" s="1"/>
  <c r="L390" i="6" s="1"/>
  <c r="P389" i="6"/>
  <c r="N389" i="6"/>
  <c r="M389" i="6"/>
  <c r="L389" i="6"/>
  <c r="I389" i="6"/>
  <c r="Q389" i="6" s="1"/>
  <c r="P388" i="6"/>
  <c r="N388" i="6"/>
  <c r="M388" i="6"/>
  <c r="L388" i="6"/>
  <c r="I388" i="6"/>
  <c r="K388" i="6" s="1"/>
  <c r="S388" i="6" s="1"/>
  <c r="Q387" i="6"/>
  <c r="P387" i="6"/>
  <c r="O387" i="6"/>
  <c r="N387" i="6"/>
  <c r="M387" i="6"/>
  <c r="G387" i="6"/>
  <c r="F387" i="6"/>
  <c r="Q386" i="6"/>
  <c r="P386" i="6"/>
  <c r="O386" i="6"/>
  <c r="N386" i="6"/>
  <c r="M386" i="6"/>
  <c r="G386" i="6"/>
  <c r="F386" i="6"/>
  <c r="P385" i="6"/>
  <c r="O385" i="6"/>
  <c r="N385" i="6"/>
  <c r="M385" i="6"/>
  <c r="I385" i="6"/>
  <c r="K385" i="6" s="1"/>
  <c r="P384" i="6"/>
  <c r="O384" i="6"/>
  <c r="N384" i="6"/>
  <c r="M384" i="6"/>
  <c r="I384" i="6"/>
  <c r="K384" i="6" s="1"/>
  <c r="L384" i="6" s="1"/>
  <c r="P383" i="6"/>
  <c r="O383" i="6"/>
  <c r="N383" i="6"/>
  <c r="M383" i="6"/>
  <c r="I383" i="6"/>
  <c r="Q383" i="6" s="1"/>
  <c r="P382" i="6"/>
  <c r="O382" i="6"/>
  <c r="N382" i="6"/>
  <c r="M382" i="6"/>
  <c r="I382" i="6"/>
  <c r="K382" i="6" s="1"/>
  <c r="S382" i="6" s="1"/>
  <c r="P381" i="6"/>
  <c r="O381" i="6"/>
  <c r="N381" i="6"/>
  <c r="M381" i="6"/>
  <c r="I381" i="6"/>
  <c r="K381" i="6" s="1"/>
  <c r="P380" i="6"/>
  <c r="O380" i="6"/>
  <c r="N380" i="6"/>
  <c r="M380" i="6"/>
  <c r="I380" i="6"/>
  <c r="K380" i="6" s="1"/>
  <c r="L380" i="6" s="1"/>
  <c r="P379" i="6"/>
  <c r="O379" i="6"/>
  <c r="N379" i="6"/>
  <c r="M379" i="6"/>
  <c r="I379" i="6"/>
  <c r="Q379" i="6" s="1"/>
  <c r="P378" i="6"/>
  <c r="O378" i="6"/>
  <c r="N378" i="6"/>
  <c r="M378" i="6"/>
  <c r="I378" i="6"/>
  <c r="K378" i="6" s="1"/>
  <c r="S378" i="6" s="1"/>
  <c r="P377" i="6"/>
  <c r="O377" i="6"/>
  <c r="N377" i="6"/>
  <c r="M377" i="6"/>
  <c r="I377" i="6"/>
  <c r="K377" i="6" s="1"/>
  <c r="P376" i="6"/>
  <c r="N376" i="6"/>
  <c r="M376" i="6"/>
  <c r="L376" i="6"/>
  <c r="I376" i="6"/>
  <c r="K376" i="6" s="1"/>
  <c r="O376" i="6" s="1"/>
  <c r="P375" i="6"/>
  <c r="O375" i="6"/>
  <c r="N375" i="6"/>
  <c r="M375" i="6"/>
  <c r="I375" i="6"/>
  <c r="Q375" i="6" s="1"/>
  <c r="P374" i="6"/>
  <c r="O374" i="6"/>
  <c r="N374" i="6"/>
  <c r="M374" i="6"/>
  <c r="I374" i="6"/>
  <c r="K374" i="6" s="1"/>
  <c r="S374" i="6" s="1"/>
  <c r="P373" i="6"/>
  <c r="O373" i="6"/>
  <c r="N373" i="6"/>
  <c r="M373" i="6"/>
  <c r="I373" i="6"/>
  <c r="K373" i="6" s="1"/>
  <c r="P372" i="6"/>
  <c r="O372" i="6"/>
  <c r="N372" i="6"/>
  <c r="M372" i="6"/>
  <c r="I372" i="6"/>
  <c r="K372" i="6" s="1"/>
  <c r="L372" i="6" s="1"/>
  <c r="P371" i="6"/>
  <c r="N371" i="6"/>
  <c r="M371" i="6"/>
  <c r="L371" i="6"/>
  <c r="I371" i="6"/>
  <c r="Q371" i="6" s="1"/>
  <c r="P370" i="6"/>
  <c r="N370" i="6"/>
  <c r="M370" i="6"/>
  <c r="L370" i="6"/>
  <c r="I370" i="6"/>
  <c r="K370" i="6" s="1"/>
  <c r="S370" i="6" s="1"/>
  <c r="P369" i="6"/>
  <c r="O369" i="6"/>
  <c r="N369" i="6"/>
  <c r="M369" i="6"/>
  <c r="I369" i="6"/>
  <c r="K369" i="6" s="1"/>
  <c r="P368" i="6"/>
  <c r="N368" i="6"/>
  <c r="M368" i="6"/>
  <c r="L368" i="6"/>
  <c r="I368" i="6"/>
  <c r="K368" i="6" s="1"/>
  <c r="O368" i="6" s="1"/>
  <c r="P367" i="6"/>
  <c r="N367" i="6"/>
  <c r="M367" i="6"/>
  <c r="L367" i="6"/>
  <c r="I367" i="6"/>
  <c r="Q367" i="6" s="1"/>
  <c r="P366" i="6"/>
  <c r="O366" i="6"/>
  <c r="N366" i="6"/>
  <c r="M366" i="6"/>
  <c r="I366" i="6"/>
  <c r="Q366" i="6" s="1"/>
  <c r="F366" i="6"/>
  <c r="Q365" i="6"/>
  <c r="P365" i="6"/>
  <c r="O365" i="6"/>
  <c r="M365" i="6"/>
  <c r="L365" i="6"/>
  <c r="K365" i="6"/>
  <c r="S365" i="6" s="1"/>
  <c r="Q364" i="6"/>
  <c r="P364" i="6"/>
  <c r="O364" i="6"/>
  <c r="N364" i="6"/>
  <c r="L364" i="6"/>
  <c r="K364" i="6"/>
  <c r="S364" i="6" s="1"/>
  <c r="P363" i="6"/>
  <c r="O363" i="6"/>
  <c r="N363" i="6"/>
  <c r="M363" i="6"/>
  <c r="I363" i="6"/>
  <c r="Q363" i="6" s="1"/>
  <c r="F363" i="6"/>
  <c r="Q362" i="6"/>
  <c r="P362" i="6"/>
  <c r="O362" i="6"/>
  <c r="M362" i="6"/>
  <c r="L362" i="6"/>
  <c r="K362" i="6"/>
  <c r="S362" i="6" s="1"/>
  <c r="Q361" i="6"/>
  <c r="P361" i="6"/>
  <c r="O361" i="6"/>
  <c r="M361" i="6"/>
  <c r="L361" i="6"/>
  <c r="K361" i="6"/>
  <c r="S361" i="6" s="1"/>
  <c r="Q360" i="6"/>
  <c r="P360" i="6"/>
  <c r="O360" i="6"/>
  <c r="N360" i="6"/>
  <c r="L360" i="6"/>
  <c r="K360" i="6"/>
  <c r="S360" i="6" s="1"/>
  <c r="Q359" i="6"/>
  <c r="P359" i="6"/>
  <c r="O359" i="6"/>
  <c r="M359" i="6"/>
  <c r="L359" i="6"/>
  <c r="K359" i="6"/>
  <c r="S359" i="6" s="1"/>
  <c r="Q358" i="6"/>
  <c r="P358" i="6"/>
  <c r="O358" i="6"/>
  <c r="N358" i="6"/>
  <c r="L358" i="6"/>
  <c r="K358" i="6"/>
  <c r="S358" i="6" s="1"/>
  <c r="Q357" i="6"/>
  <c r="P357" i="6"/>
  <c r="O357" i="6"/>
  <c r="M357" i="6"/>
  <c r="L357" i="6"/>
  <c r="K357" i="6"/>
  <c r="S357" i="6" s="1"/>
  <c r="Q356" i="6"/>
  <c r="P356" i="6"/>
  <c r="O356" i="6"/>
  <c r="N356" i="6"/>
  <c r="L356" i="6"/>
  <c r="K356" i="6"/>
  <c r="S356" i="6" s="1"/>
  <c r="P355" i="6"/>
  <c r="O355" i="6"/>
  <c r="N355" i="6"/>
  <c r="M355" i="6"/>
  <c r="I355" i="6"/>
  <c r="Q355" i="6" s="1"/>
  <c r="P354" i="6"/>
  <c r="O354" i="6"/>
  <c r="N354" i="6"/>
  <c r="M354" i="6"/>
  <c r="I354" i="6"/>
  <c r="Q354" i="6" s="1"/>
  <c r="H354" i="6"/>
  <c r="P353" i="6"/>
  <c r="O353" i="6"/>
  <c r="N353" i="6"/>
  <c r="M353" i="6"/>
  <c r="I353" i="6"/>
  <c r="Q353" i="6" s="1"/>
  <c r="Q352" i="6"/>
  <c r="P352" i="6"/>
  <c r="O352" i="6"/>
  <c r="N352" i="6"/>
  <c r="L352" i="6"/>
  <c r="K352" i="6"/>
  <c r="S352" i="6" s="1"/>
  <c r="Q351" i="6"/>
  <c r="P351" i="6"/>
  <c r="O351" i="6"/>
  <c r="N351" i="6"/>
  <c r="L351" i="6"/>
  <c r="K351" i="6"/>
  <c r="S351" i="6" s="1"/>
  <c r="Q350" i="6"/>
  <c r="P350" i="6"/>
  <c r="O350" i="6"/>
  <c r="M350" i="6"/>
  <c r="L350" i="6"/>
  <c r="K350" i="6"/>
  <c r="S350" i="6" s="1"/>
  <c r="Q349" i="6"/>
  <c r="O349" i="6"/>
  <c r="N349" i="6"/>
  <c r="M349" i="6"/>
  <c r="L349" i="6"/>
  <c r="K349" i="6"/>
  <c r="S349" i="6" s="1"/>
  <c r="Q348" i="6"/>
  <c r="P348" i="6"/>
  <c r="O348" i="6"/>
  <c r="N348" i="6"/>
  <c r="L348" i="6"/>
  <c r="K348" i="6"/>
  <c r="S348" i="6" s="1"/>
  <c r="P347" i="6"/>
  <c r="O347" i="6"/>
  <c r="M347" i="6"/>
  <c r="L347" i="6"/>
  <c r="K347" i="6"/>
  <c r="S347" i="6" s="1"/>
  <c r="Q346" i="6"/>
  <c r="P346" i="6"/>
  <c r="O346" i="6"/>
  <c r="N346" i="6"/>
  <c r="L346" i="6"/>
  <c r="K346" i="6"/>
  <c r="M346" i="6" s="1"/>
  <c r="P345" i="6"/>
  <c r="O345" i="6"/>
  <c r="N345" i="6"/>
  <c r="M345" i="6"/>
  <c r="I345" i="6"/>
  <c r="Q345" i="6" s="1"/>
  <c r="P344" i="6"/>
  <c r="O344" i="6"/>
  <c r="N344" i="6"/>
  <c r="M344" i="6"/>
  <c r="I344" i="6"/>
  <c r="K344" i="6" s="1"/>
  <c r="S344" i="6" s="1"/>
  <c r="P343" i="6"/>
  <c r="O343" i="6"/>
  <c r="N343" i="6"/>
  <c r="M343" i="6"/>
  <c r="I343" i="6"/>
  <c r="K343" i="6" s="1"/>
  <c r="Q342" i="6"/>
  <c r="O342" i="6"/>
  <c r="N342" i="6"/>
  <c r="M342" i="6"/>
  <c r="L342" i="6"/>
  <c r="K342" i="6"/>
  <c r="P342" i="6" s="1"/>
  <c r="Q341" i="6"/>
  <c r="O341" i="6"/>
  <c r="N341" i="6"/>
  <c r="M341" i="6"/>
  <c r="L341" i="6"/>
  <c r="K341" i="6"/>
  <c r="P341" i="6" s="1"/>
  <c r="P340" i="6"/>
  <c r="N340" i="6"/>
  <c r="M340" i="6"/>
  <c r="L340" i="6"/>
  <c r="I340" i="6"/>
  <c r="K340" i="6" s="1"/>
  <c r="O340" i="6" s="1"/>
  <c r="P339" i="6"/>
  <c r="O339" i="6"/>
  <c r="N339" i="6"/>
  <c r="M339" i="6"/>
  <c r="I339" i="6"/>
  <c r="Q339" i="6" s="1"/>
  <c r="H339" i="6"/>
  <c r="P338" i="6"/>
  <c r="O338" i="6"/>
  <c r="N338" i="6"/>
  <c r="M338" i="6"/>
  <c r="I338" i="6"/>
  <c r="K338" i="6" s="1"/>
  <c r="P337" i="6"/>
  <c r="N337" i="6"/>
  <c r="M337" i="6"/>
  <c r="L337" i="6"/>
  <c r="I337" i="6"/>
  <c r="K337" i="6" s="1"/>
  <c r="O337" i="6" s="1"/>
  <c r="Q336" i="6"/>
  <c r="O336" i="6"/>
  <c r="N336" i="6"/>
  <c r="M336" i="6"/>
  <c r="L336" i="6"/>
  <c r="K336" i="6"/>
  <c r="S336" i="6" s="1"/>
  <c r="Q335" i="6"/>
  <c r="O335" i="6"/>
  <c r="N335" i="6"/>
  <c r="M335" i="6"/>
  <c r="L335" i="6"/>
  <c r="K335" i="6"/>
  <c r="S335" i="6" s="1"/>
  <c r="P334" i="6"/>
  <c r="O334" i="6"/>
  <c r="N334" i="6"/>
  <c r="M334" i="6"/>
  <c r="I334" i="6"/>
  <c r="Q334" i="6" s="1"/>
  <c r="H334" i="6"/>
  <c r="Q333" i="6"/>
  <c r="P333" i="6"/>
  <c r="O333" i="6"/>
  <c r="N333" i="6"/>
  <c r="L333" i="6"/>
  <c r="K333" i="6"/>
  <c r="S333" i="6" s="1"/>
  <c r="Q332" i="6"/>
  <c r="P332" i="6"/>
  <c r="O332" i="6"/>
  <c r="N332" i="6"/>
  <c r="L332" i="6"/>
  <c r="K332" i="6"/>
  <c r="S332" i="6" s="1"/>
  <c r="Q331" i="6"/>
  <c r="P331" i="6"/>
  <c r="O331" i="6"/>
  <c r="N331" i="6"/>
  <c r="L331" i="6"/>
  <c r="K331" i="6"/>
  <c r="S331" i="6" s="1"/>
  <c r="Q330" i="6"/>
  <c r="P330" i="6"/>
  <c r="O330" i="6"/>
  <c r="N330" i="6"/>
  <c r="L330" i="6"/>
  <c r="K330" i="6"/>
  <c r="S330" i="6" s="1"/>
  <c r="P329" i="6"/>
  <c r="O329" i="6"/>
  <c r="N329" i="6"/>
  <c r="M329" i="6"/>
  <c r="I329" i="6"/>
  <c r="Q329" i="6" s="1"/>
  <c r="H329" i="6"/>
  <c r="Q328" i="6"/>
  <c r="P328" i="6"/>
  <c r="O328" i="6"/>
  <c r="N328" i="6"/>
  <c r="L328" i="6"/>
  <c r="K328" i="6"/>
  <c r="Q327" i="6"/>
  <c r="P327" i="6"/>
  <c r="O327" i="6"/>
  <c r="N327" i="6"/>
  <c r="L327" i="6"/>
  <c r="K327" i="6"/>
  <c r="M327" i="6" s="1"/>
  <c r="Q326" i="6"/>
  <c r="P326" i="6"/>
  <c r="O326" i="6"/>
  <c r="N326" i="6"/>
  <c r="L326" i="6"/>
  <c r="K326" i="6"/>
  <c r="M326" i="6" s="1"/>
  <c r="Q325" i="6"/>
  <c r="P325" i="6"/>
  <c r="O325" i="6"/>
  <c r="N325" i="6"/>
  <c r="L325" i="6"/>
  <c r="K325" i="6"/>
  <c r="M325" i="6" s="1"/>
  <c r="P324" i="6"/>
  <c r="O324" i="6"/>
  <c r="N324" i="6"/>
  <c r="M324" i="6"/>
  <c r="I324" i="6"/>
  <c r="Q324" i="6" s="1"/>
  <c r="H324" i="6"/>
  <c r="Q323" i="6"/>
  <c r="O323" i="6"/>
  <c r="N323" i="6"/>
  <c r="M323" i="6"/>
  <c r="L323" i="6"/>
  <c r="K323" i="6"/>
  <c r="P323" i="6" s="1"/>
  <c r="Q322" i="6"/>
  <c r="O322" i="6"/>
  <c r="N322" i="6"/>
  <c r="M322" i="6"/>
  <c r="L322" i="6"/>
  <c r="K322" i="6"/>
  <c r="P322" i="6" s="1"/>
  <c r="Q321" i="6"/>
  <c r="O321" i="6"/>
  <c r="N321" i="6"/>
  <c r="M321" i="6"/>
  <c r="L321" i="6"/>
  <c r="K321" i="6"/>
  <c r="P321" i="6" s="1"/>
  <c r="Q320" i="6"/>
  <c r="O320" i="6"/>
  <c r="N320" i="6"/>
  <c r="M320" i="6"/>
  <c r="L320" i="6"/>
  <c r="K320" i="6"/>
  <c r="P320" i="6" s="1"/>
  <c r="P319" i="6"/>
  <c r="O319" i="6"/>
  <c r="N319" i="6"/>
  <c r="M319" i="6"/>
  <c r="I319" i="6"/>
  <c r="K319" i="6" s="1"/>
  <c r="P318" i="6"/>
  <c r="N318" i="6"/>
  <c r="M318" i="6"/>
  <c r="L318" i="6"/>
  <c r="I318" i="6"/>
  <c r="K318" i="6" s="1"/>
  <c r="O318" i="6" s="1"/>
  <c r="Q317" i="6"/>
  <c r="P317" i="6"/>
  <c r="N317" i="6"/>
  <c r="M317" i="6"/>
  <c r="L317" i="6"/>
  <c r="K317" i="6"/>
  <c r="O317" i="6" s="1"/>
  <c r="Q316" i="6"/>
  <c r="P316" i="6"/>
  <c r="N316" i="6"/>
  <c r="M316" i="6"/>
  <c r="L316" i="6"/>
  <c r="K316" i="6"/>
  <c r="O316" i="6" s="1"/>
  <c r="Q315" i="6"/>
  <c r="P315" i="6"/>
  <c r="N315" i="6"/>
  <c r="M315" i="6"/>
  <c r="L315" i="6"/>
  <c r="K315" i="6"/>
  <c r="Q314" i="6"/>
  <c r="P314" i="6"/>
  <c r="N314" i="6"/>
  <c r="M314" i="6"/>
  <c r="L314" i="6"/>
  <c r="K314" i="6"/>
  <c r="O314" i="6" s="1"/>
  <c r="Q313" i="6"/>
  <c r="P313" i="6"/>
  <c r="N313" i="6"/>
  <c r="M313" i="6"/>
  <c r="L313" i="6"/>
  <c r="K313" i="6"/>
  <c r="O313" i="6" s="1"/>
  <c r="Q312" i="6"/>
  <c r="P312" i="6"/>
  <c r="N312" i="6"/>
  <c r="M312" i="6"/>
  <c r="L312" i="6"/>
  <c r="K312" i="6"/>
  <c r="O312" i="6" s="1"/>
  <c r="Q311" i="6"/>
  <c r="P311" i="6"/>
  <c r="N311" i="6"/>
  <c r="M311" i="6"/>
  <c r="L311" i="6"/>
  <c r="K311" i="6"/>
  <c r="Q310" i="6"/>
  <c r="P310" i="6"/>
  <c r="N310" i="6"/>
  <c r="M310" i="6"/>
  <c r="L310" i="6"/>
  <c r="K310" i="6"/>
  <c r="O310" i="6" s="1"/>
  <c r="Q309" i="6"/>
  <c r="P309" i="6"/>
  <c r="N309" i="6"/>
  <c r="M309" i="6"/>
  <c r="L309" i="6"/>
  <c r="K309" i="6"/>
  <c r="O309" i="6" s="1"/>
  <c r="P308" i="6"/>
  <c r="O308" i="6"/>
  <c r="N308" i="6"/>
  <c r="M308" i="6"/>
  <c r="I308" i="6"/>
  <c r="Q308" i="6" s="1"/>
  <c r="P307" i="6"/>
  <c r="N307" i="6"/>
  <c r="M307" i="6"/>
  <c r="L307" i="6"/>
  <c r="I307" i="6"/>
  <c r="Q307" i="6" s="1"/>
  <c r="P306" i="6"/>
  <c r="N306" i="6"/>
  <c r="M306" i="6"/>
  <c r="L306" i="6"/>
  <c r="I306" i="6"/>
  <c r="K306" i="6" s="1"/>
  <c r="Q305" i="6"/>
  <c r="P305" i="6"/>
  <c r="N305" i="6"/>
  <c r="M305" i="6"/>
  <c r="L305" i="6"/>
  <c r="K305" i="6"/>
  <c r="O305" i="6" s="1"/>
  <c r="P304" i="6"/>
  <c r="N304" i="6"/>
  <c r="M304" i="6"/>
  <c r="L304" i="6"/>
  <c r="I304" i="6"/>
  <c r="Q304" i="6" s="1"/>
  <c r="P303" i="6"/>
  <c r="N303" i="6"/>
  <c r="M303" i="6"/>
  <c r="L303" i="6"/>
  <c r="I303" i="6"/>
  <c r="Q303" i="6" s="1"/>
  <c r="Q302" i="6"/>
  <c r="P302" i="6"/>
  <c r="N302" i="6"/>
  <c r="M302" i="6"/>
  <c r="L302" i="6"/>
  <c r="K302" i="6"/>
  <c r="S302" i="6" s="1"/>
  <c r="P301" i="6"/>
  <c r="N301" i="6"/>
  <c r="M301" i="6"/>
  <c r="L301" i="6"/>
  <c r="I301" i="6"/>
  <c r="K301" i="6" s="1"/>
  <c r="S301" i="6" s="1"/>
  <c r="Q300" i="6"/>
  <c r="P300" i="6"/>
  <c r="N300" i="6"/>
  <c r="M300" i="6"/>
  <c r="L300" i="6"/>
  <c r="K300" i="6"/>
  <c r="O300" i="6" s="1"/>
  <c r="P299" i="6"/>
  <c r="O299" i="6"/>
  <c r="N299" i="6"/>
  <c r="M299" i="6"/>
  <c r="I299" i="6"/>
  <c r="K299" i="6" s="1"/>
  <c r="P298" i="6"/>
  <c r="O298" i="6"/>
  <c r="N298" i="6"/>
  <c r="M298" i="6"/>
  <c r="I298" i="6"/>
  <c r="Q298" i="6" s="1"/>
  <c r="P297" i="6"/>
  <c r="N297" i="6"/>
  <c r="M297" i="6"/>
  <c r="L297" i="6"/>
  <c r="I297" i="6"/>
  <c r="Q296" i="6"/>
  <c r="P296" i="6"/>
  <c r="N296" i="6"/>
  <c r="M296" i="6"/>
  <c r="L296" i="6"/>
  <c r="K296" i="6"/>
  <c r="S296" i="6" s="1"/>
  <c r="P295" i="6"/>
  <c r="N295" i="6"/>
  <c r="M295" i="6"/>
  <c r="L295" i="6"/>
  <c r="I295" i="6"/>
  <c r="Q295" i="6" s="1"/>
  <c r="P294" i="6"/>
  <c r="N294" i="6"/>
  <c r="M294" i="6"/>
  <c r="L294" i="6"/>
  <c r="I294" i="6"/>
  <c r="K294" i="6" s="1"/>
  <c r="P293" i="6"/>
  <c r="N293" i="6"/>
  <c r="M293" i="6"/>
  <c r="L293" i="6"/>
  <c r="I293" i="6"/>
  <c r="Q293" i="6" s="1"/>
  <c r="P292" i="6"/>
  <c r="N292" i="6"/>
  <c r="M292" i="6"/>
  <c r="L292" i="6"/>
  <c r="I292" i="6"/>
  <c r="P291" i="6"/>
  <c r="N291" i="6"/>
  <c r="M291" i="6"/>
  <c r="L291" i="6"/>
  <c r="I291" i="6"/>
  <c r="Q291" i="6" s="1"/>
  <c r="P290" i="6"/>
  <c r="N290" i="6"/>
  <c r="M290" i="6"/>
  <c r="L290" i="6"/>
  <c r="I290" i="6"/>
  <c r="K290" i="6" s="1"/>
  <c r="P289" i="6"/>
  <c r="N289" i="6"/>
  <c r="M289" i="6"/>
  <c r="L289" i="6"/>
  <c r="I289" i="6"/>
  <c r="Q289" i="6" s="1"/>
  <c r="Q288" i="6"/>
  <c r="O288" i="6"/>
  <c r="N288" i="6"/>
  <c r="M288" i="6"/>
  <c r="L288" i="6"/>
  <c r="K288" i="6"/>
  <c r="P288" i="6" s="1"/>
  <c r="Q287" i="6"/>
  <c r="O287" i="6"/>
  <c r="N287" i="6"/>
  <c r="M287" i="6"/>
  <c r="L287" i="6"/>
  <c r="K287" i="6"/>
  <c r="P287" i="6" s="1"/>
  <c r="Q286" i="6"/>
  <c r="O286" i="6"/>
  <c r="N286" i="6"/>
  <c r="M286" i="6"/>
  <c r="L286" i="6"/>
  <c r="K286" i="6"/>
  <c r="P286" i="6" s="1"/>
  <c r="Q285" i="6"/>
  <c r="O285" i="6"/>
  <c r="N285" i="6"/>
  <c r="M285" i="6"/>
  <c r="L285" i="6"/>
  <c r="K285" i="6"/>
  <c r="P285" i="6" s="1"/>
  <c r="P284" i="6"/>
  <c r="O284" i="6"/>
  <c r="N284" i="6"/>
  <c r="M284" i="6"/>
  <c r="I284" i="6"/>
  <c r="P283" i="6"/>
  <c r="O283" i="6"/>
  <c r="N283" i="6"/>
  <c r="M283" i="6"/>
  <c r="I283" i="6"/>
  <c r="Q283" i="6" s="1"/>
  <c r="P282" i="6"/>
  <c r="O282" i="6"/>
  <c r="N282" i="6"/>
  <c r="M282" i="6"/>
  <c r="I282" i="6"/>
  <c r="K282" i="6" s="1"/>
  <c r="S282" i="6" s="1"/>
  <c r="P281" i="6"/>
  <c r="O281" i="6"/>
  <c r="N281" i="6"/>
  <c r="M281" i="6"/>
  <c r="I281" i="6"/>
  <c r="K281" i="6" s="1"/>
  <c r="L281" i="6" s="1"/>
  <c r="P280" i="6"/>
  <c r="O280" i="6"/>
  <c r="N280" i="6"/>
  <c r="M280" i="6"/>
  <c r="I280" i="6"/>
  <c r="Q279" i="6"/>
  <c r="O279" i="6"/>
  <c r="N279" i="6"/>
  <c r="M279" i="6"/>
  <c r="L279" i="6"/>
  <c r="K279" i="6"/>
  <c r="P278" i="6"/>
  <c r="N278" i="6"/>
  <c r="M278" i="6"/>
  <c r="L278" i="6"/>
  <c r="I278" i="6"/>
  <c r="K278" i="6" s="1"/>
  <c r="S278" i="6" s="1"/>
  <c r="P277" i="6"/>
  <c r="N277" i="6"/>
  <c r="M277" i="6"/>
  <c r="L277" i="6"/>
  <c r="I277" i="6"/>
  <c r="K277" i="6" s="1"/>
  <c r="P276" i="6"/>
  <c r="N276" i="6"/>
  <c r="M276" i="6"/>
  <c r="L276" i="6"/>
  <c r="I276" i="6"/>
  <c r="K276" i="6" s="1"/>
  <c r="O276" i="6" s="1"/>
  <c r="Q275" i="6"/>
  <c r="O275" i="6"/>
  <c r="N275" i="6"/>
  <c r="M275" i="6"/>
  <c r="L275" i="6"/>
  <c r="K275" i="6"/>
  <c r="P275" i="6" s="1"/>
  <c r="Q274" i="6"/>
  <c r="O274" i="6"/>
  <c r="N274" i="6"/>
  <c r="M274" i="6"/>
  <c r="L274" i="6"/>
  <c r="K274" i="6"/>
  <c r="P274" i="6" s="1"/>
  <c r="Q273" i="6"/>
  <c r="P273" i="6"/>
  <c r="O273" i="6"/>
  <c r="N273" i="6"/>
  <c r="L273" i="6"/>
  <c r="K273" i="6"/>
  <c r="M273" i="6" s="1"/>
  <c r="P272" i="6"/>
  <c r="N272" i="6"/>
  <c r="M272" i="6"/>
  <c r="L272" i="6"/>
  <c r="I272" i="6"/>
  <c r="P271" i="6"/>
  <c r="N271" i="6"/>
  <c r="M271" i="6"/>
  <c r="L271" i="6"/>
  <c r="I271" i="6"/>
  <c r="K271" i="6" s="1"/>
  <c r="S271" i="6" s="1"/>
  <c r="Q270" i="6"/>
  <c r="O270" i="6"/>
  <c r="N270" i="6"/>
  <c r="M270" i="6"/>
  <c r="L270" i="6"/>
  <c r="K270" i="6"/>
  <c r="P270" i="6" s="1"/>
  <c r="P269" i="6"/>
  <c r="O269" i="6"/>
  <c r="N269" i="6"/>
  <c r="M269" i="6"/>
  <c r="I269" i="6"/>
  <c r="Q269" i="6" s="1"/>
  <c r="H269" i="6"/>
  <c r="O268" i="6"/>
  <c r="N268" i="6"/>
  <c r="M268" i="6"/>
  <c r="L268" i="6"/>
  <c r="I268" i="6"/>
  <c r="P267" i="6"/>
  <c r="O267" i="6"/>
  <c r="N267" i="6"/>
  <c r="M267" i="6"/>
  <c r="I267" i="6"/>
  <c r="Q267" i="6" s="1"/>
  <c r="H267" i="6"/>
  <c r="P266" i="6"/>
  <c r="O266" i="6"/>
  <c r="N266" i="6"/>
  <c r="M266" i="6"/>
  <c r="I266" i="6"/>
  <c r="Q266" i="6" s="1"/>
  <c r="P265" i="6"/>
  <c r="O265" i="6"/>
  <c r="N265" i="6"/>
  <c r="M265" i="6"/>
  <c r="I265" i="6"/>
  <c r="H265" i="6"/>
  <c r="P264" i="6"/>
  <c r="N264" i="6"/>
  <c r="M264" i="6"/>
  <c r="L264" i="6"/>
  <c r="I264" i="6"/>
  <c r="K264" i="6" s="1"/>
  <c r="P263" i="6"/>
  <c r="O263" i="6"/>
  <c r="N263" i="6"/>
  <c r="M263" i="6"/>
  <c r="I263" i="6"/>
  <c r="K263" i="6" s="1"/>
  <c r="L263" i="6" s="1"/>
  <c r="Q262" i="6"/>
  <c r="O262" i="6"/>
  <c r="N262" i="6"/>
  <c r="M262" i="6"/>
  <c r="L262" i="6"/>
  <c r="K262" i="6"/>
  <c r="P262" i="6" s="1"/>
  <c r="Q261" i="6"/>
  <c r="O261" i="6"/>
  <c r="N261" i="6"/>
  <c r="M261" i="6"/>
  <c r="L261" i="6"/>
  <c r="K261" i="6"/>
  <c r="P261" i="6" s="1"/>
  <c r="P260" i="6"/>
  <c r="O260" i="6"/>
  <c r="N260" i="6"/>
  <c r="M260" i="6"/>
  <c r="I260" i="6"/>
  <c r="P259" i="6"/>
  <c r="O259" i="6"/>
  <c r="N259" i="6"/>
  <c r="M259" i="6"/>
  <c r="I259" i="6"/>
  <c r="K259" i="6" s="1"/>
  <c r="Q258" i="6"/>
  <c r="O258" i="6"/>
  <c r="N258" i="6"/>
  <c r="M258" i="6"/>
  <c r="L258" i="6"/>
  <c r="K258" i="6"/>
  <c r="P258" i="6" s="1"/>
  <c r="Q257" i="6"/>
  <c r="P257" i="6"/>
  <c r="O257" i="6"/>
  <c r="N257" i="6"/>
  <c r="L257" i="6"/>
  <c r="K257" i="6"/>
  <c r="M257" i="6" s="1"/>
  <c r="Q256" i="6"/>
  <c r="P256" i="6"/>
  <c r="O256" i="6"/>
  <c r="M256" i="6"/>
  <c r="L256" i="6"/>
  <c r="K256" i="6"/>
  <c r="S256" i="6" s="1"/>
  <c r="P255" i="6"/>
  <c r="N255" i="6"/>
  <c r="M255" i="6"/>
  <c r="L255" i="6"/>
  <c r="I255" i="6"/>
  <c r="K255" i="6" s="1"/>
  <c r="P254" i="6"/>
  <c r="O254" i="6"/>
  <c r="N254" i="6"/>
  <c r="M254" i="6"/>
  <c r="I254" i="6"/>
  <c r="K254" i="6" s="1"/>
  <c r="L254" i="6" s="1"/>
  <c r="P253" i="6"/>
  <c r="O253" i="6"/>
  <c r="N253" i="6"/>
  <c r="M253" i="6"/>
  <c r="I253" i="6"/>
  <c r="P252" i="6"/>
  <c r="O252" i="6"/>
  <c r="N252" i="6"/>
  <c r="M252" i="6"/>
  <c r="I252" i="6"/>
  <c r="K252" i="6" s="1"/>
  <c r="P251" i="6"/>
  <c r="O251" i="6"/>
  <c r="N251" i="6"/>
  <c r="M251" i="6"/>
  <c r="I251" i="6"/>
  <c r="K251" i="6" s="1"/>
  <c r="S251" i="6" s="1"/>
  <c r="P250" i="6"/>
  <c r="O250" i="6"/>
  <c r="N250" i="6"/>
  <c r="M250" i="6"/>
  <c r="I250" i="6"/>
  <c r="K250" i="6" s="1"/>
  <c r="L250" i="6" s="1"/>
  <c r="P249" i="6"/>
  <c r="O249" i="6"/>
  <c r="N249" i="6"/>
  <c r="M249" i="6"/>
  <c r="I249" i="6"/>
  <c r="P248" i="6"/>
  <c r="O248" i="6"/>
  <c r="N248" i="6"/>
  <c r="M248" i="6"/>
  <c r="I248" i="6"/>
  <c r="K248" i="6" s="1"/>
  <c r="P247" i="6"/>
  <c r="O247" i="6"/>
  <c r="N247" i="6"/>
  <c r="M247" i="6"/>
  <c r="I247" i="6"/>
  <c r="K247" i="6" s="1"/>
  <c r="S247" i="6" s="1"/>
  <c r="P246" i="6"/>
  <c r="O246" i="6"/>
  <c r="N246" i="6"/>
  <c r="M246" i="6"/>
  <c r="I246" i="6"/>
  <c r="K246" i="6" s="1"/>
  <c r="L246" i="6" s="1"/>
  <c r="P245" i="6"/>
  <c r="O245" i="6"/>
  <c r="N245" i="6"/>
  <c r="M245" i="6"/>
  <c r="I245" i="6"/>
  <c r="P244" i="6"/>
  <c r="O244" i="6"/>
  <c r="N244" i="6"/>
  <c r="M244" i="6"/>
  <c r="I244" i="6"/>
  <c r="K244" i="6" s="1"/>
  <c r="P243" i="6"/>
  <c r="O243" i="6"/>
  <c r="N243" i="6"/>
  <c r="M243" i="6"/>
  <c r="I243" i="6"/>
  <c r="K243" i="6" s="1"/>
  <c r="S243" i="6" s="1"/>
  <c r="P242" i="6"/>
  <c r="O242" i="6"/>
  <c r="N242" i="6"/>
  <c r="M242" i="6"/>
  <c r="I242" i="6"/>
  <c r="Q242" i="6" s="1"/>
  <c r="P241" i="6"/>
  <c r="O241" i="6"/>
  <c r="N241" i="6"/>
  <c r="M241" i="6"/>
  <c r="I241" i="6"/>
  <c r="P240" i="6"/>
  <c r="O240" i="6"/>
  <c r="N240" i="6"/>
  <c r="M240" i="6"/>
  <c r="I240" i="6"/>
  <c r="Q240" i="6" s="1"/>
  <c r="P239" i="6"/>
  <c r="O239" i="6"/>
  <c r="N239" i="6"/>
  <c r="M239" i="6"/>
  <c r="I239" i="6"/>
  <c r="K239" i="6" s="1"/>
  <c r="S239" i="6" s="1"/>
  <c r="P238" i="6"/>
  <c r="O238" i="6"/>
  <c r="N238" i="6"/>
  <c r="M238" i="6"/>
  <c r="I238" i="6"/>
  <c r="Q238" i="6" s="1"/>
  <c r="P237" i="6"/>
  <c r="O237" i="6"/>
  <c r="N237" i="6"/>
  <c r="M237" i="6"/>
  <c r="I237" i="6"/>
  <c r="P236" i="6"/>
  <c r="O236" i="6"/>
  <c r="N236" i="6"/>
  <c r="M236" i="6"/>
  <c r="I236" i="6"/>
  <c r="Q236" i="6" s="1"/>
  <c r="P235" i="6"/>
  <c r="N235" i="6"/>
  <c r="M235" i="6"/>
  <c r="L235" i="6"/>
  <c r="I235" i="6"/>
  <c r="K235" i="6" s="1"/>
  <c r="P234" i="6"/>
  <c r="O234" i="6"/>
  <c r="N234" i="6"/>
  <c r="M234" i="6"/>
  <c r="I234" i="6"/>
  <c r="Q234" i="6" s="1"/>
  <c r="P233" i="6"/>
  <c r="O233" i="6"/>
  <c r="N233" i="6"/>
  <c r="M233" i="6"/>
  <c r="I233" i="6"/>
  <c r="P232" i="6"/>
  <c r="O232" i="6"/>
  <c r="N232" i="6"/>
  <c r="M232" i="6"/>
  <c r="I232" i="6"/>
  <c r="Q232" i="6" s="1"/>
  <c r="P231" i="6"/>
  <c r="O231" i="6"/>
  <c r="N231" i="6"/>
  <c r="M231" i="6"/>
  <c r="I231" i="6"/>
  <c r="K231" i="6" s="1"/>
  <c r="S231" i="6" s="1"/>
  <c r="P230" i="6"/>
  <c r="O230" i="6"/>
  <c r="N230" i="6"/>
  <c r="M230" i="6"/>
  <c r="I230" i="6"/>
  <c r="Q230" i="6" s="1"/>
  <c r="P229" i="6"/>
  <c r="O229" i="6"/>
  <c r="N229" i="6"/>
  <c r="M229" i="6"/>
  <c r="I229" i="6"/>
  <c r="P228" i="6"/>
  <c r="N228" i="6"/>
  <c r="M228" i="6"/>
  <c r="L228" i="6"/>
  <c r="I228" i="6"/>
  <c r="Q228" i="6" s="1"/>
  <c r="P227" i="6"/>
  <c r="N227" i="6"/>
  <c r="M227" i="6"/>
  <c r="L227" i="6"/>
  <c r="I227" i="6"/>
  <c r="K227" i="6" s="1"/>
  <c r="P226" i="6"/>
  <c r="O226" i="6"/>
  <c r="N226" i="6"/>
  <c r="M226" i="6"/>
  <c r="I226" i="6"/>
  <c r="Q226" i="6" s="1"/>
  <c r="P225" i="6"/>
  <c r="N225" i="6"/>
  <c r="M225" i="6"/>
  <c r="L225" i="6"/>
  <c r="I225" i="6"/>
  <c r="P224" i="6"/>
  <c r="N224" i="6"/>
  <c r="M224" i="6"/>
  <c r="L224" i="6"/>
  <c r="I224" i="6"/>
  <c r="Q224" i="6" s="1"/>
  <c r="Q223" i="6"/>
  <c r="O223" i="6"/>
  <c r="N223" i="6"/>
  <c r="M223" i="6"/>
  <c r="L223" i="6"/>
  <c r="K223" i="6"/>
  <c r="S223" i="6" s="1"/>
  <c r="P222" i="6"/>
  <c r="O222" i="6"/>
  <c r="N222" i="6"/>
  <c r="M222" i="6"/>
  <c r="I222" i="6"/>
  <c r="K222" i="6" s="1"/>
  <c r="S222" i="6" s="1"/>
  <c r="P221" i="6"/>
  <c r="O221" i="6"/>
  <c r="N221" i="6"/>
  <c r="M221" i="6"/>
  <c r="I221" i="6"/>
  <c r="Q221" i="6" s="1"/>
  <c r="P220" i="6"/>
  <c r="O220" i="6"/>
  <c r="N220" i="6"/>
  <c r="M220" i="6"/>
  <c r="I220" i="6"/>
  <c r="P219" i="6"/>
  <c r="O219" i="6"/>
  <c r="N219" i="6"/>
  <c r="M219" i="6"/>
  <c r="I219" i="6"/>
  <c r="Q219" i="6" s="1"/>
  <c r="P218" i="6"/>
  <c r="O218" i="6"/>
  <c r="N218" i="6"/>
  <c r="M218" i="6"/>
  <c r="I218" i="6"/>
  <c r="K218" i="6" s="1"/>
  <c r="S218" i="6" s="1"/>
  <c r="P217" i="6"/>
  <c r="O217" i="6"/>
  <c r="N217" i="6"/>
  <c r="M217" i="6"/>
  <c r="I217" i="6"/>
  <c r="K217" i="6" s="1"/>
  <c r="L217" i="6" s="1"/>
  <c r="P216" i="6"/>
  <c r="O216" i="6"/>
  <c r="N216" i="6"/>
  <c r="M216" i="6"/>
  <c r="I216" i="6"/>
  <c r="P215" i="6"/>
  <c r="O215" i="6"/>
  <c r="N215" i="6"/>
  <c r="M215" i="6"/>
  <c r="I215" i="6"/>
  <c r="K215" i="6" s="1"/>
  <c r="P214" i="6"/>
  <c r="O214" i="6"/>
  <c r="N214" i="6"/>
  <c r="M214" i="6"/>
  <c r="I214" i="6"/>
  <c r="K214" i="6" s="1"/>
  <c r="S214" i="6" s="1"/>
  <c r="P213" i="6"/>
  <c r="O213" i="6"/>
  <c r="N213" i="6"/>
  <c r="M213" i="6"/>
  <c r="I213" i="6"/>
  <c r="K213" i="6" s="1"/>
  <c r="L213" i="6" s="1"/>
  <c r="P212" i="6"/>
  <c r="O212" i="6"/>
  <c r="N212" i="6"/>
  <c r="M212" i="6"/>
  <c r="I212" i="6"/>
  <c r="P211" i="6"/>
  <c r="O211" i="6"/>
  <c r="N211" i="6"/>
  <c r="M211" i="6"/>
  <c r="I211" i="6"/>
  <c r="K211" i="6" s="1"/>
  <c r="P210" i="6"/>
  <c r="O210" i="6"/>
  <c r="N210" i="6"/>
  <c r="M210" i="6"/>
  <c r="I210" i="6"/>
  <c r="K210" i="6" s="1"/>
  <c r="S210" i="6" s="1"/>
  <c r="P209" i="6"/>
  <c r="O209" i="6"/>
  <c r="N209" i="6"/>
  <c r="M209" i="6"/>
  <c r="I209" i="6"/>
  <c r="K209" i="6" s="1"/>
  <c r="L209" i="6" s="1"/>
  <c r="P208" i="6"/>
  <c r="O208" i="6"/>
  <c r="N208" i="6"/>
  <c r="M208" i="6"/>
  <c r="I208" i="6"/>
  <c r="P207" i="6"/>
  <c r="O207" i="6"/>
  <c r="N207" i="6"/>
  <c r="M207" i="6"/>
  <c r="I207" i="6"/>
  <c r="K207" i="6" s="1"/>
  <c r="P206" i="6"/>
  <c r="O206" i="6"/>
  <c r="N206" i="6"/>
  <c r="M206" i="6"/>
  <c r="I206" i="6"/>
  <c r="K206" i="6" s="1"/>
  <c r="S206" i="6" s="1"/>
  <c r="P205" i="6"/>
  <c r="O205" i="6"/>
  <c r="N205" i="6"/>
  <c r="M205" i="6"/>
  <c r="I205" i="6"/>
  <c r="K205" i="6" s="1"/>
  <c r="L205" i="6" s="1"/>
  <c r="P204" i="6"/>
  <c r="O204" i="6"/>
  <c r="N204" i="6"/>
  <c r="M204" i="6"/>
  <c r="I204" i="6"/>
  <c r="P203" i="6"/>
  <c r="O203" i="6"/>
  <c r="N203" i="6"/>
  <c r="M203" i="6"/>
  <c r="I203" i="6"/>
  <c r="K203" i="6" s="1"/>
  <c r="P202" i="6"/>
  <c r="O202" i="6"/>
  <c r="N202" i="6"/>
  <c r="M202" i="6"/>
  <c r="I202" i="6"/>
  <c r="K202" i="6" s="1"/>
  <c r="S202" i="6" s="1"/>
  <c r="P201" i="6"/>
  <c r="O201" i="6"/>
  <c r="N201" i="6"/>
  <c r="M201" i="6"/>
  <c r="I201" i="6"/>
  <c r="Q201" i="6" s="1"/>
  <c r="P200" i="6"/>
  <c r="O200" i="6"/>
  <c r="N200" i="6"/>
  <c r="M200" i="6"/>
  <c r="I200" i="6"/>
  <c r="P199" i="6"/>
  <c r="O199" i="6"/>
  <c r="N199" i="6"/>
  <c r="M199" i="6"/>
  <c r="I199" i="6"/>
  <c r="Q199" i="6" s="1"/>
  <c r="P198" i="6"/>
  <c r="O198" i="6"/>
  <c r="N198" i="6"/>
  <c r="M198" i="6"/>
  <c r="I198" i="6"/>
  <c r="K198" i="6" s="1"/>
  <c r="S198" i="6" s="1"/>
  <c r="P197" i="6"/>
  <c r="O197" i="6"/>
  <c r="N197" i="6"/>
  <c r="M197" i="6"/>
  <c r="I197" i="6"/>
  <c r="Q197" i="6" s="1"/>
  <c r="P196" i="6"/>
  <c r="O196" i="6"/>
  <c r="N196" i="6"/>
  <c r="M196" i="6"/>
  <c r="I196" i="6"/>
  <c r="P195" i="6"/>
  <c r="O195" i="6"/>
  <c r="N195" i="6"/>
  <c r="M195" i="6"/>
  <c r="I195" i="6"/>
  <c r="Q195" i="6" s="1"/>
  <c r="P194" i="6"/>
  <c r="O194" i="6"/>
  <c r="N194" i="6"/>
  <c r="M194" i="6"/>
  <c r="I194" i="6"/>
  <c r="K194" i="6" s="1"/>
  <c r="S194" i="6" s="1"/>
  <c r="P193" i="6"/>
  <c r="O193" i="6"/>
  <c r="N193" i="6"/>
  <c r="M193" i="6"/>
  <c r="I193" i="6"/>
  <c r="Q193" i="6" s="1"/>
  <c r="P192" i="6"/>
  <c r="O192" i="6"/>
  <c r="N192" i="6"/>
  <c r="M192" i="6"/>
  <c r="I192" i="6"/>
  <c r="P191" i="6"/>
  <c r="O191" i="6"/>
  <c r="N191" i="6"/>
  <c r="M191" i="6"/>
  <c r="I191" i="6"/>
  <c r="Q191" i="6" s="1"/>
  <c r="P190" i="6"/>
  <c r="O190" i="6"/>
  <c r="N190" i="6"/>
  <c r="M190" i="6"/>
  <c r="I190" i="6"/>
  <c r="K190" i="6" s="1"/>
  <c r="S190" i="6" s="1"/>
  <c r="P189" i="6"/>
  <c r="O189" i="6"/>
  <c r="N189" i="6"/>
  <c r="M189" i="6"/>
  <c r="I189" i="6"/>
  <c r="Q189" i="6" s="1"/>
  <c r="P188" i="6"/>
  <c r="O188" i="6"/>
  <c r="N188" i="6"/>
  <c r="M188" i="6"/>
  <c r="I188" i="6"/>
  <c r="P187" i="6"/>
  <c r="O187" i="6"/>
  <c r="N187" i="6"/>
  <c r="M187" i="6"/>
  <c r="I187" i="6"/>
  <c r="Q187" i="6" s="1"/>
  <c r="P186" i="6"/>
  <c r="O186" i="6"/>
  <c r="N186" i="6"/>
  <c r="M186" i="6"/>
  <c r="I186" i="6"/>
  <c r="K186" i="6" s="1"/>
  <c r="S186" i="6" s="1"/>
  <c r="P185" i="6"/>
  <c r="O185" i="6"/>
  <c r="N185" i="6"/>
  <c r="M185" i="6"/>
  <c r="I185" i="6"/>
  <c r="K185" i="6" s="1"/>
  <c r="L185" i="6" s="1"/>
  <c r="P184" i="6"/>
  <c r="O184" i="6"/>
  <c r="N184" i="6"/>
  <c r="M184" i="6"/>
  <c r="I184" i="6"/>
  <c r="P183" i="6"/>
  <c r="O183" i="6"/>
  <c r="N183" i="6"/>
  <c r="M183" i="6"/>
  <c r="I183" i="6"/>
  <c r="K183" i="6" s="1"/>
  <c r="P182" i="6"/>
  <c r="O182" i="6"/>
  <c r="N182" i="6"/>
  <c r="M182" i="6"/>
  <c r="I182" i="6"/>
  <c r="K182" i="6" s="1"/>
  <c r="S182" i="6" s="1"/>
  <c r="P181" i="6"/>
  <c r="O181" i="6"/>
  <c r="N181" i="6"/>
  <c r="M181" i="6"/>
  <c r="I181" i="6"/>
  <c r="K181" i="6" s="1"/>
  <c r="L181" i="6" s="1"/>
  <c r="P180" i="6"/>
  <c r="O180" i="6"/>
  <c r="N180" i="6"/>
  <c r="M180" i="6"/>
  <c r="I180" i="6"/>
  <c r="P179" i="6"/>
  <c r="O179" i="6"/>
  <c r="N179" i="6"/>
  <c r="M179" i="6"/>
  <c r="I179" i="6"/>
  <c r="K179" i="6" s="1"/>
  <c r="P178" i="6"/>
  <c r="O178" i="6"/>
  <c r="N178" i="6"/>
  <c r="M178" i="6"/>
  <c r="I178" i="6"/>
  <c r="K178" i="6" s="1"/>
  <c r="S178" i="6" s="1"/>
  <c r="P177" i="6"/>
  <c r="O177" i="6"/>
  <c r="N177" i="6"/>
  <c r="M177" i="6"/>
  <c r="I177" i="6"/>
  <c r="K177" i="6" s="1"/>
  <c r="L177" i="6" s="1"/>
  <c r="P176" i="6"/>
  <c r="O176" i="6"/>
  <c r="N176" i="6"/>
  <c r="M176" i="6"/>
  <c r="I176" i="6"/>
  <c r="P175" i="6"/>
  <c r="O175" i="6"/>
  <c r="N175" i="6"/>
  <c r="M175" i="6"/>
  <c r="I175" i="6"/>
  <c r="K175" i="6" s="1"/>
  <c r="P174" i="6"/>
  <c r="O174" i="6"/>
  <c r="N174" i="6"/>
  <c r="M174" i="6"/>
  <c r="I174" i="6"/>
  <c r="K174" i="6" s="1"/>
  <c r="S174" i="6" s="1"/>
  <c r="P173" i="6"/>
  <c r="O173" i="6"/>
  <c r="N173" i="6"/>
  <c r="M173" i="6"/>
  <c r="I173" i="6"/>
  <c r="K173" i="6" s="1"/>
  <c r="L173" i="6" s="1"/>
  <c r="P172" i="6"/>
  <c r="O172" i="6"/>
  <c r="N172" i="6"/>
  <c r="M172" i="6"/>
  <c r="I172" i="6"/>
  <c r="P171" i="6"/>
  <c r="O171" i="6"/>
  <c r="N171" i="6"/>
  <c r="M171" i="6"/>
  <c r="I171" i="6"/>
  <c r="K171" i="6" s="1"/>
  <c r="P170" i="6"/>
  <c r="O170" i="6"/>
  <c r="N170" i="6"/>
  <c r="M170" i="6"/>
  <c r="I170" i="6"/>
  <c r="K170" i="6" s="1"/>
  <c r="S170" i="6" s="1"/>
  <c r="P169" i="6"/>
  <c r="O169" i="6"/>
  <c r="N169" i="6"/>
  <c r="M169" i="6"/>
  <c r="I169" i="6"/>
  <c r="Q169" i="6" s="1"/>
  <c r="Q168" i="6"/>
  <c r="P168" i="6"/>
  <c r="O168" i="6"/>
  <c r="N168" i="6"/>
  <c r="L168" i="6"/>
  <c r="K168" i="6"/>
  <c r="M168" i="6" s="1"/>
  <c r="Q167" i="6"/>
  <c r="P167" i="6"/>
  <c r="O167" i="6"/>
  <c r="N167" i="6"/>
  <c r="L167" i="6"/>
  <c r="K167" i="6"/>
  <c r="M167" i="6" s="1"/>
  <c r="Q166" i="6"/>
  <c r="P166" i="6"/>
  <c r="O166" i="6"/>
  <c r="N166" i="6"/>
  <c r="L166" i="6"/>
  <c r="K166" i="6"/>
  <c r="M166" i="6" s="1"/>
  <c r="P165" i="6"/>
  <c r="O165" i="6"/>
  <c r="N165" i="6"/>
  <c r="M165" i="6"/>
  <c r="I165" i="6"/>
  <c r="H165" i="6"/>
  <c r="P164" i="6"/>
  <c r="O164" i="6"/>
  <c r="N164" i="6"/>
  <c r="M164" i="6"/>
  <c r="I164" i="6"/>
  <c r="K164" i="6" s="1"/>
  <c r="S164" i="6" s="1"/>
  <c r="P163" i="6"/>
  <c r="O163" i="6"/>
  <c r="N163" i="6"/>
  <c r="M163" i="6"/>
  <c r="I163" i="6"/>
  <c r="K163" i="6" s="1"/>
  <c r="L163" i="6" s="1"/>
  <c r="Q162" i="6"/>
  <c r="P162" i="6"/>
  <c r="O162" i="6"/>
  <c r="N162" i="6"/>
  <c r="L162" i="6"/>
  <c r="K162" i="6"/>
  <c r="M162" i="6" s="1"/>
  <c r="Q161" i="6"/>
  <c r="P161" i="6"/>
  <c r="O161" i="6"/>
  <c r="N161" i="6"/>
  <c r="L161" i="6"/>
  <c r="K161" i="6"/>
  <c r="M161" i="6" s="1"/>
  <c r="Q160" i="6"/>
  <c r="P160" i="6"/>
  <c r="O160" i="6"/>
  <c r="M160" i="6"/>
  <c r="L160" i="6"/>
  <c r="K160" i="6"/>
  <c r="S160" i="6" s="1"/>
  <c r="P159" i="6"/>
  <c r="O159" i="6"/>
  <c r="N159" i="6"/>
  <c r="M159" i="6"/>
  <c r="I159" i="6"/>
  <c r="P158" i="6"/>
  <c r="O158" i="6"/>
  <c r="N158" i="6"/>
  <c r="M158" i="6"/>
  <c r="I158" i="6"/>
  <c r="Q157" i="6"/>
  <c r="P157" i="6"/>
  <c r="O157" i="6"/>
  <c r="N157" i="6"/>
  <c r="L157" i="6"/>
  <c r="K157" i="6"/>
  <c r="Q156" i="6"/>
  <c r="P156" i="6"/>
  <c r="O156" i="6"/>
  <c r="M156" i="6"/>
  <c r="L156" i="6"/>
  <c r="K156" i="6"/>
  <c r="P155" i="6"/>
  <c r="N155" i="6"/>
  <c r="M155" i="6"/>
  <c r="L155" i="6"/>
  <c r="I155" i="6"/>
  <c r="K155" i="6" s="1"/>
  <c r="P154" i="6"/>
  <c r="N154" i="6"/>
  <c r="M154" i="6"/>
  <c r="L154" i="6"/>
  <c r="I154" i="6"/>
  <c r="K154" i="6" s="1"/>
  <c r="O154" i="6" s="1"/>
  <c r="P153" i="6"/>
  <c r="O153" i="6"/>
  <c r="N153" i="6"/>
  <c r="M153" i="6"/>
  <c r="I153" i="6"/>
  <c r="P152" i="6"/>
  <c r="O152" i="6"/>
  <c r="N152" i="6"/>
  <c r="M152" i="6"/>
  <c r="I152" i="6"/>
  <c r="K152" i="6" s="1"/>
  <c r="P151" i="6"/>
  <c r="O151" i="6"/>
  <c r="N151" i="6"/>
  <c r="M151" i="6"/>
  <c r="I151" i="6"/>
  <c r="Q151" i="6" s="1"/>
  <c r="H151" i="6"/>
  <c r="Q150" i="6"/>
  <c r="O150" i="6"/>
  <c r="N150" i="6"/>
  <c r="M150" i="6"/>
  <c r="L150" i="6"/>
  <c r="K150" i="6"/>
  <c r="P150" i="6" s="1"/>
  <c r="Q149" i="6"/>
  <c r="O149" i="6"/>
  <c r="N149" i="6"/>
  <c r="M149" i="6"/>
  <c r="L149" i="6"/>
  <c r="K149" i="6"/>
  <c r="P149" i="6" s="1"/>
  <c r="P148" i="6"/>
  <c r="O148" i="6"/>
  <c r="N148" i="6"/>
  <c r="M148" i="6"/>
  <c r="I148" i="6"/>
  <c r="P147" i="6"/>
  <c r="O147" i="6"/>
  <c r="N147" i="6"/>
  <c r="M147" i="6"/>
  <c r="I147" i="6"/>
  <c r="Q147" i="6" s="1"/>
  <c r="P146" i="6"/>
  <c r="O146" i="6"/>
  <c r="N146" i="6"/>
  <c r="M146" i="6"/>
  <c r="I146" i="6"/>
  <c r="P145" i="6"/>
  <c r="O145" i="6"/>
  <c r="N145" i="6"/>
  <c r="M145" i="6"/>
  <c r="I145" i="6"/>
  <c r="P144" i="6"/>
  <c r="O144" i="6"/>
  <c r="N144" i="6"/>
  <c r="M144" i="6"/>
  <c r="I144" i="6"/>
  <c r="P143" i="6"/>
  <c r="O143" i="6"/>
  <c r="N143" i="6"/>
  <c r="M143" i="6"/>
  <c r="I143" i="6"/>
  <c r="Q143" i="6" s="1"/>
  <c r="P142" i="6"/>
  <c r="N142" i="6"/>
  <c r="M142" i="6"/>
  <c r="L142" i="6"/>
  <c r="I142" i="6"/>
  <c r="P141" i="6"/>
  <c r="N141" i="6"/>
  <c r="M141" i="6"/>
  <c r="L141" i="6"/>
  <c r="I141" i="6"/>
  <c r="P140" i="6"/>
  <c r="N140" i="6"/>
  <c r="M140" i="6"/>
  <c r="L140" i="6"/>
  <c r="I140" i="6"/>
  <c r="P139" i="6"/>
  <c r="N139" i="6"/>
  <c r="M139" i="6"/>
  <c r="L139" i="6"/>
  <c r="I139" i="6"/>
  <c r="Q139" i="6" s="1"/>
  <c r="P138" i="6"/>
  <c r="N138" i="6"/>
  <c r="M138" i="6"/>
  <c r="L138" i="6"/>
  <c r="I138" i="6"/>
  <c r="Q137" i="6"/>
  <c r="P137" i="6"/>
  <c r="O137" i="6"/>
  <c r="N137" i="6"/>
  <c r="L137" i="6"/>
  <c r="K137" i="6"/>
  <c r="S137" i="6" s="1"/>
  <c r="Q136" i="6"/>
  <c r="P136" i="6"/>
  <c r="O136" i="6"/>
  <c r="N136" i="6"/>
  <c r="L136" i="6"/>
  <c r="K136" i="6"/>
  <c r="S136" i="6" s="1"/>
  <c r="Q135" i="6"/>
  <c r="P135" i="6"/>
  <c r="O135" i="6"/>
  <c r="N135" i="6"/>
  <c r="L135" i="6"/>
  <c r="K135" i="6"/>
  <c r="S135" i="6" s="1"/>
  <c r="P134" i="6"/>
  <c r="N134" i="6"/>
  <c r="M134" i="6"/>
  <c r="L134" i="6"/>
  <c r="I134" i="6"/>
  <c r="P133" i="6"/>
  <c r="N133" i="6"/>
  <c r="M133" i="6"/>
  <c r="L133" i="6"/>
  <c r="I133" i="6"/>
  <c r="P132" i="6"/>
  <c r="N132" i="6"/>
  <c r="M132" i="6"/>
  <c r="L132" i="6"/>
  <c r="I132" i="6"/>
  <c r="K132" i="6" s="1"/>
  <c r="S132" i="6" s="1"/>
  <c r="P131" i="6"/>
  <c r="O131" i="6"/>
  <c r="N131" i="6"/>
  <c r="M131" i="6"/>
  <c r="I131" i="6"/>
  <c r="P130" i="6"/>
  <c r="N130" i="6"/>
  <c r="M130" i="6"/>
  <c r="L130" i="6"/>
  <c r="I130" i="6"/>
  <c r="K130" i="6" s="1"/>
  <c r="S130" i="6" s="1"/>
  <c r="P129" i="6"/>
  <c r="N129" i="6"/>
  <c r="M129" i="6"/>
  <c r="L129" i="6"/>
  <c r="I129" i="6"/>
  <c r="P128" i="6"/>
  <c r="N128" i="6"/>
  <c r="M128" i="6"/>
  <c r="L128" i="6"/>
  <c r="I128" i="6"/>
  <c r="K128" i="6" s="1"/>
  <c r="S128" i="6" s="1"/>
  <c r="P127" i="6"/>
  <c r="N127" i="6"/>
  <c r="M127" i="6"/>
  <c r="L127" i="6"/>
  <c r="I127" i="6"/>
  <c r="P126" i="6"/>
  <c r="N126" i="6"/>
  <c r="M126" i="6"/>
  <c r="L126" i="6"/>
  <c r="I126" i="6"/>
  <c r="K126" i="6" s="1"/>
  <c r="S126" i="6" s="1"/>
  <c r="P125" i="6"/>
  <c r="N125" i="6"/>
  <c r="M125" i="6"/>
  <c r="L125" i="6"/>
  <c r="I125" i="6"/>
  <c r="P124" i="6"/>
  <c r="N124" i="6"/>
  <c r="M124" i="6"/>
  <c r="L124" i="6"/>
  <c r="I124" i="6"/>
  <c r="K124" i="6" s="1"/>
  <c r="S124" i="6" s="1"/>
  <c r="P123" i="6"/>
  <c r="N123" i="6"/>
  <c r="M123" i="6"/>
  <c r="L123" i="6"/>
  <c r="I123" i="6"/>
  <c r="Q122" i="6"/>
  <c r="P122" i="6"/>
  <c r="O122" i="6"/>
  <c r="N122" i="6"/>
  <c r="L122" i="6"/>
  <c r="K122" i="6"/>
  <c r="S122" i="6" s="1"/>
  <c r="Q121" i="6"/>
  <c r="P121" i="6"/>
  <c r="O121" i="6"/>
  <c r="N121" i="6"/>
  <c r="L121" i="6"/>
  <c r="K121" i="6"/>
  <c r="S121" i="6" s="1"/>
  <c r="P120" i="6"/>
  <c r="N120" i="6"/>
  <c r="M120" i="6"/>
  <c r="L120" i="6"/>
  <c r="I120" i="6"/>
  <c r="Q120" i="6" s="1"/>
  <c r="P119" i="6"/>
  <c r="N119" i="6"/>
  <c r="M119" i="6"/>
  <c r="L119" i="6"/>
  <c r="I119" i="6"/>
  <c r="P118" i="6"/>
  <c r="N118" i="6"/>
  <c r="M118" i="6"/>
  <c r="L118" i="6"/>
  <c r="I118" i="6"/>
  <c r="Q118" i="6" s="1"/>
  <c r="P117" i="6"/>
  <c r="N117" i="6"/>
  <c r="M117" i="6"/>
  <c r="L117" i="6"/>
  <c r="I117" i="6"/>
  <c r="P116" i="6"/>
  <c r="N116" i="6"/>
  <c r="M116" i="6"/>
  <c r="L116" i="6"/>
  <c r="I116" i="6"/>
  <c r="Q116" i="6" s="1"/>
  <c r="P115" i="6"/>
  <c r="N115" i="6"/>
  <c r="M115" i="6"/>
  <c r="L115" i="6"/>
  <c r="I115" i="6"/>
  <c r="P114" i="6"/>
  <c r="N114" i="6"/>
  <c r="M114" i="6"/>
  <c r="L114" i="6"/>
  <c r="I114" i="6"/>
  <c r="Q114" i="6" s="1"/>
  <c r="P113" i="6"/>
  <c r="N113" i="6"/>
  <c r="M113" i="6"/>
  <c r="L113" i="6"/>
  <c r="I113" i="6"/>
  <c r="Q112" i="6"/>
  <c r="P112" i="6"/>
  <c r="O112" i="6"/>
  <c r="N112" i="6"/>
  <c r="L112" i="6"/>
  <c r="K112" i="6"/>
  <c r="S112" i="6" s="1"/>
  <c r="P111" i="6"/>
  <c r="N111" i="6"/>
  <c r="M111" i="6"/>
  <c r="L111" i="6"/>
  <c r="I111" i="6"/>
  <c r="Q111" i="6" s="1"/>
  <c r="P110" i="6"/>
  <c r="N110" i="6"/>
  <c r="M110" i="6"/>
  <c r="L110" i="6"/>
  <c r="I110" i="6"/>
  <c r="P109" i="6"/>
  <c r="N109" i="6"/>
  <c r="M109" i="6"/>
  <c r="L109" i="6"/>
  <c r="I109" i="6"/>
  <c r="Q109" i="6" s="1"/>
  <c r="P108" i="6"/>
  <c r="N108" i="6"/>
  <c r="M108" i="6"/>
  <c r="L108" i="6"/>
  <c r="I108" i="6"/>
  <c r="P107" i="6"/>
  <c r="N107" i="6"/>
  <c r="M107" i="6"/>
  <c r="L107" i="6"/>
  <c r="I107" i="6"/>
  <c r="Q107" i="6" s="1"/>
  <c r="P106" i="6"/>
  <c r="N106" i="6"/>
  <c r="M106" i="6"/>
  <c r="L106" i="6"/>
  <c r="I106" i="6"/>
  <c r="Q106" i="6" s="1"/>
  <c r="P105" i="6"/>
  <c r="N105" i="6"/>
  <c r="M105" i="6"/>
  <c r="L105" i="6"/>
  <c r="I105" i="6"/>
  <c r="Q105" i="6" s="1"/>
  <c r="P104" i="6"/>
  <c r="N104" i="6"/>
  <c r="M104" i="6"/>
  <c r="L104" i="6"/>
  <c r="I104" i="6"/>
  <c r="K104" i="6" s="1"/>
  <c r="O104" i="6" s="1"/>
  <c r="P103" i="6"/>
  <c r="N103" i="6"/>
  <c r="M103" i="6"/>
  <c r="L103" i="6"/>
  <c r="I103" i="6"/>
  <c r="Q103" i="6" s="1"/>
  <c r="P102" i="6"/>
  <c r="N102" i="6"/>
  <c r="M102" i="6"/>
  <c r="L102" i="6"/>
  <c r="I102" i="6"/>
  <c r="Q102" i="6" s="1"/>
  <c r="P101" i="6"/>
  <c r="N101" i="6"/>
  <c r="M101" i="6"/>
  <c r="L101" i="6"/>
  <c r="I101" i="6"/>
  <c r="Q101" i="6" s="1"/>
  <c r="P100" i="6"/>
  <c r="N100" i="6"/>
  <c r="M100" i="6"/>
  <c r="L100" i="6"/>
  <c r="I100" i="6"/>
  <c r="K100" i="6" s="1"/>
  <c r="O100" i="6" s="1"/>
  <c r="P99" i="6"/>
  <c r="N99" i="6"/>
  <c r="M99" i="6"/>
  <c r="L99" i="6"/>
  <c r="I99" i="6"/>
  <c r="Q99" i="6" s="1"/>
  <c r="P98" i="6"/>
  <c r="N98" i="6"/>
  <c r="M98" i="6"/>
  <c r="L98" i="6"/>
  <c r="I98" i="6"/>
  <c r="Q98" i="6" s="1"/>
  <c r="P97" i="6"/>
  <c r="N97" i="6"/>
  <c r="M97" i="6"/>
  <c r="L97" i="6"/>
  <c r="I97" i="6"/>
  <c r="Q97" i="6" s="1"/>
  <c r="P96" i="6"/>
  <c r="N96" i="6"/>
  <c r="M96" i="6"/>
  <c r="L96" i="6"/>
  <c r="I96" i="6"/>
  <c r="K96" i="6" s="1"/>
  <c r="O96" i="6" s="1"/>
  <c r="P95" i="6"/>
  <c r="N95" i="6"/>
  <c r="M95" i="6"/>
  <c r="L95" i="6"/>
  <c r="I95" i="6"/>
  <c r="Q95" i="6" s="1"/>
  <c r="P94" i="6"/>
  <c r="N94" i="6"/>
  <c r="M94" i="6"/>
  <c r="L94" i="6"/>
  <c r="I94" i="6"/>
  <c r="Q94" i="6" s="1"/>
  <c r="P93" i="6"/>
  <c r="N93" i="6"/>
  <c r="M93" i="6"/>
  <c r="L93" i="6"/>
  <c r="I93" i="6"/>
  <c r="Q93" i="6" s="1"/>
  <c r="P92" i="6"/>
  <c r="N92" i="6"/>
  <c r="M92" i="6"/>
  <c r="L92" i="6"/>
  <c r="I92" i="6"/>
  <c r="K92" i="6" s="1"/>
  <c r="O92" i="6" s="1"/>
  <c r="P91" i="6"/>
  <c r="N91" i="6"/>
  <c r="M91" i="6"/>
  <c r="L91" i="6"/>
  <c r="I91" i="6"/>
  <c r="Q91" i="6" s="1"/>
  <c r="P90" i="6"/>
  <c r="N90" i="6"/>
  <c r="M90" i="6"/>
  <c r="L90" i="6"/>
  <c r="I90" i="6"/>
  <c r="Q90" i="6" s="1"/>
  <c r="Q89" i="6"/>
  <c r="P89" i="6"/>
  <c r="O89" i="6"/>
  <c r="N89" i="6"/>
  <c r="L89" i="6"/>
  <c r="K89" i="6"/>
  <c r="S89" i="6" s="1"/>
  <c r="P88" i="6"/>
  <c r="N88" i="6"/>
  <c r="M88" i="6"/>
  <c r="L88" i="6"/>
  <c r="I88" i="6"/>
  <c r="K88" i="6" s="1"/>
  <c r="S88" i="6" s="1"/>
  <c r="P87" i="6"/>
  <c r="N87" i="6"/>
  <c r="M87" i="6"/>
  <c r="L87" i="6"/>
  <c r="I87" i="6"/>
  <c r="K87" i="6" s="1"/>
  <c r="Q86" i="6"/>
  <c r="P86" i="6"/>
  <c r="O86" i="6"/>
  <c r="M86" i="6"/>
  <c r="L86" i="6"/>
  <c r="K86" i="6"/>
  <c r="S86" i="6" s="1"/>
  <c r="Q85" i="6"/>
  <c r="P85" i="6"/>
  <c r="O85" i="6"/>
  <c r="N85" i="6"/>
  <c r="L85" i="6"/>
  <c r="K85" i="6"/>
  <c r="S85" i="6" s="1"/>
  <c r="P84" i="6"/>
  <c r="N84" i="6"/>
  <c r="M84" i="6"/>
  <c r="L84" i="6"/>
  <c r="I84" i="6"/>
  <c r="Q84" i="6" s="1"/>
  <c r="Q83" i="6"/>
  <c r="O83" i="6"/>
  <c r="N83" i="6"/>
  <c r="M83" i="6"/>
  <c r="L83" i="6"/>
  <c r="K83" i="6"/>
  <c r="S83" i="6" s="1"/>
  <c r="Q82" i="6"/>
  <c r="P82" i="6"/>
  <c r="O82" i="6"/>
  <c r="N82" i="6"/>
  <c r="L82" i="6"/>
  <c r="K82" i="6"/>
  <c r="M82" i="6" s="1"/>
  <c r="P81" i="6"/>
  <c r="N81" i="6"/>
  <c r="M81" i="6"/>
  <c r="L81" i="6"/>
  <c r="I81" i="6"/>
  <c r="Q81" i="6" s="1"/>
  <c r="P80" i="6"/>
  <c r="N80" i="6"/>
  <c r="M80" i="6"/>
  <c r="L80" i="6"/>
  <c r="I80" i="6"/>
  <c r="K80" i="6" s="1"/>
  <c r="S80" i="6" s="1"/>
  <c r="Q79" i="6"/>
  <c r="P79" i="6"/>
  <c r="O79" i="6"/>
  <c r="N79" i="6"/>
  <c r="L79" i="6"/>
  <c r="K79" i="6"/>
  <c r="S79" i="6" s="1"/>
  <c r="P78" i="6"/>
  <c r="N78" i="6"/>
  <c r="M78" i="6"/>
  <c r="L78" i="6"/>
  <c r="I78" i="6"/>
  <c r="K78" i="6" s="1"/>
  <c r="O78" i="6" s="1"/>
  <c r="P77" i="6"/>
  <c r="N77" i="6"/>
  <c r="M77" i="6"/>
  <c r="L77" i="6"/>
  <c r="I77" i="6"/>
  <c r="K77" i="6" s="1"/>
  <c r="Q76" i="6"/>
  <c r="P76" i="6"/>
  <c r="O76" i="6"/>
  <c r="N76" i="6"/>
  <c r="L76" i="6"/>
  <c r="K76" i="6"/>
  <c r="M76" i="6" s="1"/>
  <c r="P75" i="6"/>
  <c r="N75" i="6"/>
  <c r="M75" i="6"/>
  <c r="L75" i="6"/>
  <c r="I75" i="6"/>
  <c r="Q75" i="6" s="1"/>
  <c r="P74" i="6"/>
  <c r="N74" i="6"/>
  <c r="M74" i="6"/>
  <c r="L74" i="6"/>
  <c r="I74" i="6"/>
  <c r="Q74" i="6" s="1"/>
  <c r="P73" i="6"/>
  <c r="N73" i="6"/>
  <c r="M73" i="6"/>
  <c r="L73" i="6"/>
  <c r="I73" i="6"/>
  <c r="P72" i="6"/>
  <c r="N72" i="6"/>
  <c r="M72" i="6"/>
  <c r="L72" i="6"/>
  <c r="I72" i="6"/>
  <c r="P71" i="6"/>
  <c r="O71" i="6"/>
  <c r="N71" i="6"/>
  <c r="M71" i="6"/>
  <c r="I71" i="6"/>
  <c r="Q71" i="6" s="1"/>
  <c r="Q70" i="6"/>
  <c r="O70" i="6"/>
  <c r="N70" i="6"/>
  <c r="M70" i="6"/>
  <c r="L70" i="6"/>
  <c r="K70" i="6"/>
  <c r="Q69" i="6"/>
  <c r="O69" i="6"/>
  <c r="N69" i="6"/>
  <c r="M69" i="6"/>
  <c r="L69" i="6"/>
  <c r="K69" i="6"/>
  <c r="S69" i="6" s="1"/>
  <c r="P68" i="6"/>
  <c r="O68" i="6"/>
  <c r="N68" i="6"/>
  <c r="M68" i="6"/>
  <c r="I68" i="6"/>
  <c r="Q68" i="6" s="1"/>
  <c r="P67" i="6"/>
  <c r="N67" i="6"/>
  <c r="M67" i="6"/>
  <c r="L67" i="6"/>
  <c r="I67" i="6"/>
  <c r="K67" i="6" s="1"/>
  <c r="O67" i="6" s="1"/>
  <c r="P66" i="6"/>
  <c r="O66" i="6"/>
  <c r="N66" i="6"/>
  <c r="M66" i="6"/>
  <c r="I66" i="6"/>
  <c r="Q66" i="6" s="1"/>
  <c r="H66" i="6"/>
  <c r="Q65" i="6"/>
  <c r="P65" i="6"/>
  <c r="O65" i="6"/>
  <c r="N65" i="6"/>
  <c r="L65" i="6"/>
  <c r="K65" i="6"/>
  <c r="S65" i="6" s="1"/>
  <c r="Q64" i="6"/>
  <c r="P64" i="6"/>
  <c r="O64" i="6"/>
  <c r="N64" i="6"/>
  <c r="L64" i="6"/>
  <c r="K64" i="6"/>
  <c r="S64" i="6" s="1"/>
  <c r="P63" i="6"/>
  <c r="N63" i="6"/>
  <c r="M63" i="6"/>
  <c r="L63" i="6"/>
  <c r="I63" i="6"/>
  <c r="Q63" i="6" s="1"/>
  <c r="Q62" i="6"/>
  <c r="O62" i="6"/>
  <c r="N62" i="6"/>
  <c r="M62" i="6"/>
  <c r="L62" i="6"/>
  <c r="K62" i="6"/>
  <c r="P61" i="6"/>
  <c r="O61" i="6"/>
  <c r="N61" i="6"/>
  <c r="M61" i="6"/>
  <c r="I61" i="6"/>
  <c r="K61" i="6" s="1"/>
  <c r="S61" i="6" s="1"/>
  <c r="P60" i="6"/>
  <c r="O60" i="6"/>
  <c r="N60" i="6"/>
  <c r="M60" i="6"/>
  <c r="I60" i="6"/>
  <c r="Q60" i="6" s="1"/>
  <c r="Q59" i="6"/>
  <c r="P59" i="6"/>
  <c r="N59" i="6"/>
  <c r="M59" i="6"/>
  <c r="L59" i="6"/>
  <c r="K59" i="6"/>
  <c r="O59" i="6" s="1"/>
  <c r="Q58" i="6"/>
  <c r="P58" i="6"/>
  <c r="N58" i="6"/>
  <c r="M58" i="6"/>
  <c r="L58" i="6"/>
  <c r="K58" i="6"/>
  <c r="O58" i="6" s="1"/>
  <c r="Q57" i="6"/>
  <c r="O57" i="6"/>
  <c r="N57" i="6"/>
  <c r="M57" i="6"/>
  <c r="L57" i="6"/>
  <c r="K57" i="6"/>
  <c r="Q56" i="6"/>
  <c r="O56" i="6"/>
  <c r="N56" i="6"/>
  <c r="M56" i="6"/>
  <c r="L56" i="6"/>
  <c r="K56" i="6"/>
  <c r="P55" i="6"/>
  <c r="O55" i="6"/>
  <c r="N55" i="6"/>
  <c r="M55" i="6"/>
  <c r="I55" i="6"/>
  <c r="Q55" i="6" s="1"/>
  <c r="Q54" i="6"/>
  <c r="O54" i="6"/>
  <c r="N54" i="6"/>
  <c r="M54" i="6"/>
  <c r="L54" i="6"/>
  <c r="K54" i="6"/>
  <c r="S54" i="6" s="1"/>
  <c r="Q53" i="6"/>
  <c r="P53" i="6"/>
  <c r="N53" i="6"/>
  <c r="M53" i="6"/>
  <c r="L53" i="6"/>
  <c r="K53" i="6"/>
  <c r="S53" i="6" s="1"/>
  <c r="Q52" i="6"/>
  <c r="P52" i="6"/>
  <c r="N52" i="6"/>
  <c r="M52" i="6"/>
  <c r="L52" i="6"/>
  <c r="K52" i="6"/>
  <c r="S52" i="6" s="1"/>
  <c r="Q51" i="6"/>
  <c r="P51" i="6"/>
  <c r="N51" i="6"/>
  <c r="M51" i="6"/>
  <c r="L51" i="6"/>
  <c r="K51" i="6"/>
  <c r="S51" i="6" s="1"/>
  <c r="Q50" i="6"/>
  <c r="P50" i="6"/>
  <c r="N50" i="6"/>
  <c r="M50" i="6"/>
  <c r="L50" i="6"/>
  <c r="K50" i="6"/>
  <c r="S50" i="6" s="1"/>
  <c r="Q49" i="6"/>
  <c r="P49" i="6"/>
  <c r="N49" i="6"/>
  <c r="M49" i="6"/>
  <c r="L49" i="6"/>
  <c r="K49" i="6"/>
  <c r="S49" i="6" s="1"/>
  <c r="P48" i="6"/>
  <c r="O48" i="6"/>
  <c r="N48" i="6"/>
  <c r="M48" i="6"/>
  <c r="I48" i="6"/>
  <c r="Q48" i="6" s="1"/>
  <c r="P47" i="6"/>
  <c r="O47" i="6"/>
  <c r="N47" i="6"/>
  <c r="M47" i="6"/>
  <c r="I47" i="6"/>
  <c r="K47" i="6" s="1"/>
  <c r="L47" i="6" s="1"/>
  <c r="P46" i="6"/>
  <c r="O46" i="6"/>
  <c r="N46" i="6"/>
  <c r="M46" i="6"/>
  <c r="I46" i="6"/>
  <c r="Q46" i="6" s="1"/>
  <c r="P45" i="6"/>
  <c r="N45" i="6"/>
  <c r="M45" i="6"/>
  <c r="L45" i="6"/>
  <c r="I45" i="6"/>
  <c r="Q45" i="6" s="1"/>
  <c r="P44" i="6"/>
  <c r="N44" i="6"/>
  <c r="M44" i="6"/>
  <c r="L44" i="6"/>
  <c r="I44" i="6"/>
  <c r="K44" i="6" s="1"/>
  <c r="S44" i="6" s="1"/>
  <c r="Q43" i="6"/>
  <c r="P43" i="6"/>
  <c r="O43" i="6"/>
  <c r="N43" i="6"/>
  <c r="L43" i="6"/>
  <c r="K43" i="6"/>
  <c r="S43" i="6" s="1"/>
  <c r="Q42" i="6"/>
  <c r="P42" i="6"/>
  <c r="O42" i="6"/>
  <c r="N42" i="6"/>
  <c r="L42" i="6"/>
  <c r="K42" i="6"/>
  <c r="M42" i="6" s="1"/>
  <c r="Q41" i="6"/>
  <c r="P41" i="6"/>
  <c r="O41" i="6"/>
  <c r="N41" i="6"/>
  <c r="L41" i="6"/>
  <c r="K41" i="6"/>
  <c r="M41" i="6" s="1"/>
  <c r="P40" i="6"/>
  <c r="N40" i="6"/>
  <c r="M40" i="6"/>
  <c r="L40" i="6"/>
  <c r="I40" i="6"/>
  <c r="K40" i="6" s="1"/>
  <c r="O40" i="6" s="1"/>
  <c r="P39" i="6"/>
  <c r="N39" i="6"/>
  <c r="M39" i="6"/>
  <c r="L39" i="6"/>
  <c r="I39" i="6"/>
  <c r="K39" i="6" s="1"/>
  <c r="P38" i="6"/>
  <c r="N38" i="6"/>
  <c r="M38" i="6"/>
  <c r="L38" i="6"/>
  <c r="I38" i="6"/>
  <c r="Q38" i="6" s="1"/>
  <c r="P37" i="6"/>
  <c r="O37" i="6"/>
  <c r="N37" i="6"/>
  <c r="M37" i="6"/>
  <c r="I37" i="6"/>
  <c r="Q37" i="6" s="1"/>
  <c r="Q36" i="6"/>
  <c r="P36" i="6"/>
  <c r="O36" i="6"/>
  <c r="N36" i="6"/>
  <c r="L36" i="6"/>
  <c r="K36" i="6"/>
  <c r="M36" i="6" s="1"/>
  <c r="Q35" i="6"/>
  <c r="P35" i="6"/>
  <c r="O35" i="6"/>
  <c r="M35" i="6"/>
  <c r="L35" i="6"/>
  <c r="K35" i="6"/>
  <c r="S35" i="6" s="1"/>
  <c r="Q34" i="6"/>
  <c r="P34" i="6"/>
  <c r="O34" i="6"/>
  <c r="M34" i="6"/>
  <c r="L34" i="6"/>
  <c r="K34" i="6"/>
  <c r="S34" i="6" s="1"/>
  <c r="Q33" i="6"/>
  <c r="P33" i="6"/>
  <c r="O33" i="6"/>
  <c r="N33" i="6"/>
  <c r="L33" i="6"/>
  <c r="K33" i="6"/>
  <c r="M33" i="6" s="1"/>
  <c r="P32" i="6"/>
  <c r="N32" i="6"/>
  <c r="M32" i="6"/>
  <c r="L32" i="6"/>
  <c r="I32" i="6"/>
  <c r="K32" i="6" s="1"/>
  <c r="O32" i="6" s="1"/>
  <c r="P31" i="6"/>
  <c r="O31" i="6"/>
  <c r="N31" i="6"/>
  <c r="M31" i="6"/>
  <c r="I31" i="6"/>
  <c r="K31" i="6" s="1"/>
  <c r="P30" i="6"/>
  <c r="N30" i="6"/>
  <c r="M30" i="6"/>
  <c r="L30" i="6"/>
  <c r="I30" i="6"/>
  <c r="Q30" i="6" s="1"/>
  <c r="Q29" i="6"/>
  <c r="P29" i="6"/>
  <c r="N29" i="6"/>
  <c r="M29" i="6"/>
  <c r="L29" i="6"/>
  <c r="K29" i="6"/>
  <c r="S29" i="6" s="1"/>
  <c r="P28" i="6"/>
  <c r="N28" i="6"/>
  <c r="M28" i="6"/>
  <c r="L28" i="6"/>
  <c r="I28" i="6"/>
  <c r="Q28" i="6" s="1"/>
  <c r="P27" i="6"/>
  <c r="N27" i="6"/>
  <c r="M27" i="6"/>
  <c r="L27" i="6"/>
  <c r="I27" i="6"/>
  <c r="K27" i="6" s="1"/>
  <c r="O27" i="6" s="1"/>
  <c r="P26" i="6"/>
  <c r="O26" i="6"/>
  <c r="N26" i="6"/>
  <c r="M26" i="6"/>
  <c r="I26" i="6"/>
  <c r="Q26" i="6" s="1"/>
  <c r="P25" i="6"/>
  <c r="O25" i="6"/>
  <c r="N25" i="6"/>
  <c r="M25" i="6"/>
  <c r="I25" i="6"/>
  <c r="Q25" i="6" s="1"/>
  <c r="P24" i="6"/>
  <c r="O24" i="6"/>
  <c r="N24" i="6"/>
  <c r="M24" i="6"/>
  <c r="I24" i="6"/>
  <c r="Q24" i="6" s="1"/>
  <c r="P23" i="6"/>
  <c r="O23" i="6"/>
  <c r="N23" i="6"/>
  <c r="M23" i="6"/>
  <c r="I23" i="6"/>
  <c r="K23" i="6" s="1"/>
  <c r="S23" i="6" s="1"/>
  <c r="P22" i="6"/>
  <c r="N22" i="6"/>
  <c r="M22" i="6"/>
  <c r="L22" i="6"/>
  <c r="I22" i="6"/>
  <c r="Q22" i="6" s="1"/>
  <c r="Q21" i="6"/>
  <c r="O21" i="6"/>
  <c r="N21" i="6"/>
  <c r="M21" i="6"/>
  <c r="L21" i="6"/>
  <c r="K21" i="6"/>
  <c r="P21" i="6" s="1"/>
  <c r="Q20" i="6"/>
  <c r="O20" i="6"/>
  <c r="N20" i="6"/>
  <c r="M20" i="6"/>
  <c r="L20" i="6"/>
  <c r="K20" i="6"/>
  <c r="P20" i="6" s="1"/>
  <c r="P19" i="6"/>
  <c r="N19" i="6"/>
  <c r="M19" i="6"/>
  <c r="L19" i="6"/>
  <c r="I19" i="6"/>
  <c r="Q19" i="6" s="1"/>
  <c r="P18" i="6"/>
  <c r="N18" i="6"/>
  <c r="M18" i="6"/>
  <c r="L18" i="6"/>
  <c r="I18" i="6"/>
  <c r="Q18" i="6" s="1"/>
  <c r="P17" i="6"/>
  <c r="N17" i="6"/>
  <c r="M17" i="6"/>
  <c r="L17" i="6"/>
  <c r="I17" i="6"/>
  <c r="K17" i="6" s="1"/>
  <c r="O17" i="6" s="1"/>
  <c r="P16" i="6"/>
  <c r="O16" i="6"/>
  <c r="N16" i="6"/>
  <c r="M16" i="6"/>
  <c r="I16" i="6"/>
  <c r="Q16" i="6" s="1"/>
  <c r="P15" i="6"/>
  <c r="O15" i="6"/>
  <c r="N15" i="6"/>
  <c r="M15" i="6"/>
  <c r="I15" i="6"/>
  <c r="Q15" i="6" s="1"/>
  <c r="P14" i="6"/>
  <c r="O14" i="6"/>
  <c r="N14" i="6"/>
  <c r="M14" i="6"/>
  <c r="I14" i="6"/>
  <c r="Q14" i="6" s="1"/>
  <c r="P13" i="6"/>
  <c r="O13" i="6"/>
  <c r="N13" i="6"/>
  <c r="M13" i="6"/>
  <c r="I13" i="6"/>
  <c r="K13" i="6" s="1"/>
  <c r="S13" i="6" s="1"/>
  <c r="Q12" i="6"/>
  <c r="O12" i="6"/>
  <c r="N12" i="6"/>
  <c r="M12" i="6"/>
  <c r="L12" i="6"/>
  <c r="K12" i="6"/>
  <c r="P12" i="6" s="1"/>
  <c r="Q11" i="6"/>
  <c r="O11" i="6"/>
  <c r="N11" i="6"/>
  <c r="M11" i="6"/>
  <c r="L11" i="6"/>
  <c r="K11" i="6"/>
  <c r="P11" i="6" s="1"/>
  <c r="P10" i="6"/>
  <c r="N10" i="6"/>
  <c r="M10" i="6"/>
  <c r="L10" i="6"/>
  <c r="I10" i="6"/>
  <c r="K10" i="6" s="1"/>
  <c r="P9" i="6"/>
  <c r="N9" i="6"/>
  <c r="M9" i="6"/>
  <c r="L9" i="6"/>
  <c r="I9" i="6"/>
  <c r="Q9" i="6" s="1"/>
  <c r="P8" i="6"/>
  <c r="N8" i="6"/>
  <c r="M8" i="6"/>
  <c r="L8" i="6"/>
  <c r="I8" i="6"/>
  <c r="Q8" i="6" s="1"/>
  <c r="Q7" i="6"/>
  <c r="O7" i="6"/>
  <c r="N7" i="6"/>
  <c r="M7" i="6"/>
  <c r="L7" i="6"/>
  <c r="K7" i="6"/>
  <c r="S7" i="6" s="1"/>
  <c r="Q6" i="6"/>
  <c r="O6" i="6"/>
  <c r="N6" i="6"/>
  <c r="M6" i="6"/>
  <c r="L6" i="6"/>
  <c r="G6" i="6"/>
  <c r="K6" i="6" s="1"/>
  <c r="P6" i="6" s="1"/>
  <c r="Q5" i="6"/>
  <c r="P5" i="6"/>
  <c r="O5" i="6"/>
  <c r="N5" i="6"/>
  <c r="M5" i="6"/>
  <c r="K5" i="6"/>
  <c r="L5" i="6" s="1"/>
  <c r="P4" i="6"/>
  <c r="N4" i="6"/>
  <c r="M4" i="6"/>
  <c r="L4" i="6"/>
  <c r="I4" i="6"/>
  <c r="K4" i="6" s="1"/>
  <c r="P3" i="6"/>
  <c r="O3" i="6"/>
  <c r="N3" i="6"/>
  <c r="M3" i="6"/>
  <c r="I3" i="6"/>
  <c r="Q3" i="6" s="1"/>
  <c r="D28" i="5"/>
  <c r="F28" i="5" s="1"/>
  <c r="D27" i="5"/>
  <c r="F27" i="5" s="1"/>
  <c r="D26" i="5"/>
  <c r="F26" i="5" s="1"/>
  <c r="D25" i="5"/>
  <c r="F25" i="5" s="1"/>
  <c r="D24" i="5"/>
  <c r="F24" i="5" s="1"/>
  <c r="D23" i="5"/>
  <c r="F23" i="5" s="1"/>
  <c r="D22" i="5"/>
  <c r="F22" i="5" s="1"/>
  <c r="D21" i="5"/>
  <c r="F21" i="5" s="1"/>
  <c r="D20" i="5"/>
  <c r="F20" i="5" s="1"/>
  <c r="D19" i="5"/>
  <c r="F19" i="5" s="1"/>
  <c r="P18" i="5"/>
  <c r="N18" i="5"/>
  <c r="L18" i="5"/>
  <c r="J18" i="5"/>
  <c r="H18" i="5"/>
  <c r="X18" i="5" s="1"/>
  <c r="D18" i="5"/>
  <c r="F18" i="5" s="1"/>
  <c r="D17" i="5"/>
  <c r="F17" i="5" s="1"/>
  <c r="D16" i="5"/>
  <c r="F16" i="5" s="1"/>
  <c r="D15" i="5"/>
  <c r="F15" i="5" s="1"/>
  <c r="D14" i="5"/>
  <c r="F14" i="5" s="1"/>
  <c r="D13" i="5"/>
  <c r="F13" i="5" s="1"/>
  <c r="D12" i="5"/>
  <c r="F12" i="5" s="1"/>
  <c r="D11" i="5"/>
  <c r="F11" i="5" s="1"/>
  <c r="D10" i="5"/>
  <c r="F10" i="5" s="1"/>
  <c r="D9" i="5"/>
  <c r="F9" i="5" s="1"/>
  <c r="D8" i="5"/>
  <c r="F8" i="5" s="1"/>
  <c r="D7" i="5"/>
  <c r="F7" i="5" s="1"/>
  <c r="D6" i="5"/>
  <c r="F6" i="5" s="1"/>
  <c r="D5" i="5"/>
  <c r="F5" i="5" s="1"/>
  <c r="D4" i="5"/>
  <c r="F4" i="5" s="1"/>
  <c r="P3" i="5"/>
  <c r="N3" i="5"/>
  <c r="M3" i="5"/>
  <c r="L3" i="5"/>
  <c r="J3" i="5"/>
  <c r="D3" i="5"/>
  <c r="F3" i="5" s="1"/>
  <c r="E22" i="17"/>
  <c r="E21" i="17"/>
  <c r="E18" i="17"/>
  <c r="E17" i="17"/>
  <c r="C11" i="17"/>
  <c r="E11" i="17" s="1"/>
  <c r="E7" i="17"/>
  <c r="I110" i="3"/>
  <c r="K110" i="3" s="1"/>
  <c r="I109" i="3"/>
  <c r="K109" i="3" s="1"/>
  <c r="K94" i="3"/>
  <c r="K78" i="3"/>
  <c r="K74" i="3"/>
  <c r="K73" i="3"/>
  <c r="K70" i="3"/>
  <c r="K69" i="3"/>
  <c r="K68" i="3"/>
  <c r="K66" i="3"/>
  <c r="D117" i="3"/>
  <c r="D116" i="3"/>
  <c r="D115" i="3"/>
  <c r="D114" i="3"/>
  <c r="D113" i="3"/>
  <c r="D110" i="3"/>
  <c r="D109" i="3"/>
  <c r="D108" i="3"/>
  <c r="D107" i="3"/>
  <c r="D106" i="3"/>
  <c r="D105" i="3"/>
  <c r="D104" i="3"/>
  <c r="D103" i="3"/>
  <c r="D102" i="3"/>
  <c r="D101" i="3"/>
  <c r="D100" i="3"/>
  <c r="D99" i="3"/>
  <c r="D98" i="3"/>
  <c r="D97" i="3"/>
  <c r="D96" i="3"/>
  <c r="D95" i="3"/>
  <c r="D94" i="3"/>
  <c r="D93" i="3"/>
  <c r="D92" i="3"/>
  <c r="D91" i="3"/>
  <c r="D90" i="3"/>
  <c r="D89" i="3"/>
  <c r="D88" i="3"/>
  <c r="D87" i="3"/>
  <c r="D86" i="3"/>
  <c r="D85" i="3"/>
  <c r="D84" i="3"/>
  <c r="D83" i="3"/>
  <c r="D82" i="3"/>
  <c r="D81" i="3"/>
  <c r="D80" i="3"/>
  <c r="D79" i="3"/>
  <c r="D78" i="3"/>
  <c r="D77" i="3"/>
  <c r="D76" i="3"/>
  <c r="D75" i="3"/>
  <c r="D74" i="3"/>
  <c r="D73" i="3"/>
  <c r="D72" i="3"/>
  <c r="D71" i="3"/>
  <c r="D70" i="3"/>
  <c r="D69" i="3"/>
  <c r="D68" i="3"/>
  <c r="D67" i="3"/>
  <c r="D66" i="3"/>
  <c r="D65" i="3"/>
  <c r="D64" i="3"/>
  <c r="D63" i="3"/>
  <c r="D62" i="3"/>
  <c r="D61" i="3"/>
  <c r="D60" i="3"/>
  <c r="D59" i="3"/>
  <c r="D58" i="3"/>
  <c r="D57" i="3"/>
  <c r="D56" i="3"/>
  <c r="D55" i="3"/>
  <c r="D54" i="3"/>
  <c r="D53" i="3"/>
  <c r="D52" i="3"/>
  <c r="D51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D5" i="3"/>
  <c r="C19" i="1"/>
  <c r="J14" i="3" s="1"/>
  <c r="C18" i="1"/>
  <c r="T111" i="3" l="1"/>
  <c r="P111" i="3" s="1"/>
  <c r="T112" i="3"/>
  <c r="P112" i="3" s="1"/>
  <c r="V73" i="3"/>
  <c r="V119" i="3"/>
  <c r="V64" i="3"/>
  <c r="V48" i="3"/>
  <c r="V57" i="3"/>
  <c r="V6" i="3"/>
  <c r="V35" i="3"/>
  <c r="V83" i="3"/>
  <c r="V107" i="3"/>
  <c r="V116" i="3"/>
  <c r="V50" i="3"/>
  <c r="V114" i="3"/>
  <c r="V60" i="3"/>
  <c r="V46" i="3"/>
  <c r="V117" i="3"/>
  <c r="V72" i="3"/>
  <c r="V39" i="3"/>
  <c r="V99" i="3"/>
  <c r="V81" i="3"/>
  <c r="V66" i="3"/>
  <c r="V43" i="3"/>
  <c r="V110" i="3"/>
  <c r="V52" i="3"/>
  <c r="V53" i="3"/>
  <c r="V29" i="3"/>
  <c r="V36" i="3"/>
  <c r="V109" i="3"/>
  <c r="V77" i="3"/>
  <c r="V65" i="3"/>
  <c r="V69" i="3"/>
  <c r="V82" i="3"/>
  <c r="V47" i="3"/>
  <c r="V67" i="3"/>
  <c r="V92" i="3"/>
  <c r="V61" i="3"/>
  <c r="V97" i="3"/>
  <c r="V38" i="3"/>
  <c r="V55" i="3"/>
  <c r="V79" i="3"/>
  <c r="V62" i="3"/>
  <c r="V42" i="3"/>
  <c r="V91" i="3"/>
  <c r="V30" i="3"/>
  <c r="V70" i="3"/>
  <c r="V37" i="3"/>
  <c r="V96" i="3"/>
  <c r="V78" i="3"/>
  <c r="V33" i="3"/>
  <c r="V45" i="3"/>
  <c r="V58" i="3"/>
  <c r="V74" i="3"/>
  <c r="V94" i="3"/>
  <c r="V76" i="3"/>
  <c r="AA78" i="3"/>
  <c r="Z78" i="3"/>
  <c r="R78" i="3" s="1"/>
  <c r="AA94" i="3"/>
  <c r="Z94" i="3"/>
  <c r="AA68" i="3"/>
  <c r="Z68" i="3"/>
  <c r="AA73" i="3"/>
  <c r="Z73" i="3"/>
  <c r="R73" i="3" s="1"/>
  <c r="AA109" i="3"/>
  <c r="Z109" i="3"/>
  <c r="R109" i="3" s="1"/>
  <c r="AA69" i="3"/>
  <c r="Z69" i="3"/>
  <c r="Z66" i="3"/>
  <c r="AA66" i="3"/>
  <c r="AA70" i="3"/>
  <c r="Z70" i="3"/>
  <c r="Z74" i="3"/>
  <c r="AA74" i="3"/>
  <c r="Z110" i="3"/>
  <c r="V68" i="3"/>
  <c r="V44" i="3"/>
  <c r="V93" i="3"/>
  <c r="V31" i="3"/>
  <c r="V41" i="3"/>
  <c r="V49" i="3"/>
  <c r="V63" i="3"/>
  <c r="V71" i="3"/>
  <c r="V90" i="3"/>
  <c r="V106" i="3"/>
  <c r="O18" i="5"/>
  <c r="U18" i="5" s="1"/>
  <c r="Z18" i="5"/>
  <c r="X73" i="3"/>
  <c r="O3" i="5"/>
  <c r="U3" i="5" s="1"/>
  <c r="Z3" i="5"/>
  <c r="W61" i="3"/>
  <c r="W77" i="3"/>
  <c r="W76" i="3"/>
  <c r="W62" i="3"/>
  <c r="W73" i="3"/>
  <c r="O7" i="2"/>
  <c r="Q7" i="2" s="1"/>
  <c r="R7" i="2" s="1"/>
  <c r="O3" i="2"/>
  <c r="Q3" i="2" s="1"/>
  <c r="R3" i="2" s="1"/>
  <c r="O6" i="2"/>
  <c r="Q6" i="2" s="1"/>
  <c r="R6" i="2" s="1"/>
  <c r="O5" i="2"/>
  <c r="Q5" i="2" s="1"/>
  <c r="R5" i="2" s="1"/>
  <c r="O4" i="2"/>
  <c r="Q4" i="2" s="1"/>
  <c r="R4" i="2" s="1"/>
  <c r="X66" i="3"/>
  <c r="X70" i="3"/>
  <c r="X74" i="3"/>
  <c r="X109" i="3"/>
  <c r="Y78" i="3"/>
  <c r="X94" i="3"/>
  <c r="X69" i="3"/>
  <c r="X68" i="3"/>
  <c r="W117" i="3"/>
  <c r="W114" i="3"/>
  <c r="W106" i="3"/>
  <c r="W96" i="3"/>
  <c r="W90" i="3"/>
  <c r="W81" i="3"/>
  <c r="W71" i="3"/>
  <c r="W68" i="3"/>
  <c r="W63" i="3"/>
  <c r="W57" i="3"/>
  <c r="W49" i="3"/>
  <c r="W46" i="3"/>
  <c r="W41" i="3"/>
  <c r="W37" i="3"/>
  <c r="W31" i="3"/>
  <c r="W7" i="3"/>
  <c r="W116" i="3"/>
  <c r="W109" i="3"/>
  <c r="W99" i="3"/>
  <c r="W92" i="3"/>
  <c r="W83" i="3"/>
  <c r="W74" i="3"/>
  <c r="W70" i="3"/>
  <c r="W65" i="3"/>
  <c r="W60" i="3"/>
  <c r="W52" i="3"/>
  <c r="W48" i="3"/>
  <c r="W43" i="3"/>
  <c r="W39" i="3"/>
  <c r="W33" i="3"/>
  <c r="W30" i="3"/>
  <c r="W6" i="3"/>
  <c r="W107" i="3"/>
  <c r="W94" i="3"/>
  <c r="W91" i="3"/>
  <c r="W79" i="3"/>
  <c r="W72" i="3"/>
  <c r="W67" i="3"/>
  <c r="W64" i="3"/>
  <c r="W55" i="3"/>
  <c r="W50" i="3"/>
  <c r="W45" i="3"/>
  <c r="W42" i="3"/>
  <c r="W36" i="3"/>
  <c r="W32" i="3"/>
  <c r="W97" i="3"/>
  <c r="W93" i="3"/>
  <c r="W82" i="3"/>
  <c r="W78" i="3"/>
  <c r="W69" i="3"/>
  <c r="W66" i="3"/>
  <c r="W58" i="3"/>
  <c r="W53" i="3"/>
  <c r="W47" i="3"/>
  <c r="W44" i="3"/>
  <c r="W38" i="3"/>
  <c r="W35" i="3"/>
  <c r="W29" i="3"/>
  <c r="T94" i="3"/>
  <c r="T81" i="3"/>
  <c r="T83" i="3"/>
  <c r="T82" i="3"/>
  <c r="U14" i="3"/>
  <c r="U18" i="3"/>
  <c r="U26" i="3"/>
  <c r="U79" i="3"/>
  <c r="U76" i="3"/>
  <c r="U77" i="3"/>
  <c r="U78" i="3"/>
  <c r="S526" i="6"/>
  <c r="N527" i="6"/>
  <c r="D5" i="17"/>
  <c r="E5" i="17" s="1"/>
  <c r="K139" i="6"/>
  <c r="S139" i="6" s="1"/>
  <c r="P472" i="6"/>
  <c r="S478" i="6"/>
  <c r="K499" i="6"/>
  <c r="S499" i="6" s="1"/>
  <c r="K535" i="6"/>
  <c r="S535" i="6" s="1"/>
  <c r="Q337" i="6"/>
  <c r="K75" i="6"/>
  <c r="O75" i="6" s="1"/>
  <c r="Q571" i="6"/>
  <c r="K600" i="6"/>
  <c r="S600" i="6" s="1"/>
  <c r="K31" i="8"/>
  <c r="K45" i="8" s="1"/>
  <c r="S40" i="6"/>
  <c r="Q179" i="6"/>
  <c r="S262" i="6"/>
  <c r="K556" i="6"/>
  <c r="S556" i="6" s="1"/>
  <c r="K569" i="6"/>
  <c r="O569" i="6" s="1"/>
  <c r="Q31" i="6"/>
  <c r="S33" i="6"/>
  <c r="Q126" i="6"/>
  <c r="Q154" i="6"/>
  <c r="N256" i="6"/>
  <c r="I10" i="5" s="1"/>
  <c r="M445" i="6"/>
  <c r="S36" i="6"/>
  <c r="Q39" i="6"/>
  <c r="K109" i="6"/>
  <c r="S109" i="6" s="1"/>
  <c r="Q541" i="6"/>
  <c r="N34" i="6"/>
  <c r="N35" i="6"/>
  <c r="S285" i="6"/>
  <c r="S286" i="6"/>
  <c r="S287" i="6"/>
  <c r="S288" i="6"/>
  <c r="K435" i="6"/>
  <c r="S435" i="6" s="1"/>
  <c r="S42" i="6"/>
  <c r="L170" i="6"/>
  <c r="Q276" i="6"/>
  <c r="L282" i="6"/>
  <c r="K289" i="6"/>
  <c r="O289" i="6" s="1"/>
  <c r="I7" i="5"/>
  <c r="K14" i="6"/>
  <c r="S14" i="6" s="1"/>
  <c r="S32" i="6"/>
  <c r="K37" i="6"/>
  <c r="S37" i="6" s="1"/>
  <c r="S41" i="6"/>
  <c r="K101" i="6"/>
  <c r="S101" i="6" s="1"/>
  <c r="K147" i="6"/>
  <c r="S147" i="6" s="1"/>
  <c r="K187" i="6"/>
  <c r="S187" i="6" s="1"/>
  <c r="Q213" i="6"/>
  <c r="S275" i="6"/>
  <c r="Q424" i="6"/>
  <c r="P470" i="6"/>
  <c r="P479" i="6"/>
  <c r="P480" i="6"/>
  <c r="K481" i="6"/>
  <c r="S481" i="6" s="1"/>
  <c r="S538" i="6"/>
  <c r="K559" i="6"/>
  <c r="S559" i="6" s="1"/>
  <c r="Q579" i="6"/>
  <c r="J8" i="5"/>
  <c r="I19" i="5"/>
  <c r="N19" i="5" s="1"/>
  <c r="T19" i="5" s="1"/>
  <c r="K191" i="6"/>
  <c r="S191" i="6" s="1"/>
  <c r="S274" i="6"/>
  <c r="Q378" i="6"/>
  <c r="M548" i="6"/>
  <c r="Q570" i="6"/>
  <c r="Q592" i="6"/>
  <c r="K594" i="6"/>
  <c r="S594" i="6" s="1"/>
  <c r="K597" i="6"/>
  <c r="S597" i="6" s="1"/>
  <c r="T117" i="3"/>
  <c r="T107" i="3"/>
  <c r="T74" i="3"/>
  <c r="T70" i="3"/>
  <c r="T66" i="3"/>
  <c r="T62" i="3"/>
  <c r="T116" i="3"/>
  <c r="T106" i="3"/>
  <c r="T73" i="3"/>
  <c r="T69" i="3"/>
  <c r="T65" i="3"/>
  <c r="T61" i="3"/>
  <c r="P110" i="3"/>
  <c r="T97" i="3"/>
  <c r="T72" i="3"/>
  <c r="T68" i="3"/>
  <c r="T64" i="3"/>
  <c r="T60" i="3"/>
  <c r="T7" i="3"/>
  <c r="T109" i="3"/>
  <c r="T96" i="3"/>
  <c r="T71" i="3"/>
  <c r="T67" i="3"/>
  <c r="T63" i="3"/>
  <c r="T99" i="3"/>
  <c r="T6" i="3"/>
  <c r="S321" i="6"/>
  <c r="K471" i="6"/>
  <c r="L471" i="6" s="1"/>
  <c r="P7" i="6"/>
  <c r="K4" i="5" s="1"/>
  <c r="P4" i="5" s="1"/>
  <c r="V4" i="5" s="1"/>
  <c r="Q44" i="6"/>
  <c r="S47" i="6"/>
  <c r="K60" i="6"/>
  <c r="L60" i="6" s="1"/>
  <c r="S67" i="6"/>
  <c r="Q78" i="6"/>
  <c r="K90" i="6"/>
  <c r="S90" i="6" s="1"/>
  <c r="K93" i="6"/>
  <c r="S93" i="6" s="1"/>
  <c r="K143" i="6"/>
  <c r="S143" i="6" s="1"/>
  <c r="Q183" i="6"/>
  <c r="K189" i="6"/>
  <c r="L189" i="6" s="1"/>
  <c r="Q217" i="6"/>
  <c r="L243" i="6"/>
  <c r="S257" i="6"/>
  <c r="X10" i="5" s="1"/>
  <c r="Q263" i="6"/>
  <c r="K269" i="6"/>
  <c r="S269" i="6" s="1"/>
  <c r="K329" i="6"/>
  <c r="S329" i="6" s="1"/>
  <c r="K363" i="6"/>
  <c r="L363" i="6" s="1"/>
  <c r="M364" i="6"/>
  <c r="K421" i="6"/>
  <c r="L421" i="6" s="1"/>
  <c r="K448" i="6"/>
  <c r="S448" i="6" s="1"/>
  <c r="K469" i="6"/>
  <c r="S469" i="6" s="1"/>
  <c r="P502" i="6"/>
  <c r="Q511" i="6"/>
  <c r="K513" i="6"/>
  <c r="L513" i="6" s="1"/>
  <c r="S528" i="6"/>
  <c r="N529" i="6"/>
  <c r="S530" i="6"/>
  <c r="S531" i="6"/>
  <c r="S532" i="6"/>
  <c r="N533" i="6"/>
  <c r="K536" i="6"/>
  <c r="S536" i="6" s="1"/>
  <c r="K552" i="6"/>
  <c r="L552" i="6" s="1"/>
  <c r="M560" i="6"/>
  <c r="Q576" i="6"/>
  <c r="Q587" i="6"/>
  <c r="K31" i="7"/>
  <c r="K45" i="7" s="1"/>
  <c r="B46" i="9"/>
  <c r="Q4" i="6"/>
  <c r="M43" i="6"/>
  <c r="H4" i="5" s="1"/>
  <c r="M4" i="5" s="1"/>
  <c r="S4" i="5" s="1"/>
  <c r="L61" i="6"/>
  <c r="K63" i="6"/>
  <c r="S63" i="6" s="1"/>
  <c r="M64" i="6"/>
  <c r="K111" i="6"/>
  <c r="S111" i="6" s="1"/>
  <c r="Q130" i="6"/>
  <c r="S166" i="6"/>
  <c r="K193" i="6"/>
  <c r="L193" i="6" s="1"/>
  <c r="Q252" i="6"/>
  <c r="S317" i="6"/>
  <c r="K433" i="6"/>
  <c r="L433" i="6" s="1"/>
  <c r="K486" i="6"/>
  <c r="S486" i="6" s="1"/>
  <c r="K512" i="6"/>
  <c r="S512" i="6" s="1"/>
  <c r="K514" i="6"/>
  <c r="L514" i="6" s="1"/>
  <c r="K516" i="6"/>
  <c r="S516" i="6" s="1"/>
  <c r="K575" i="6"/>
  <c r="S575" i="6" s="1"/>
  <c r="K577" i="6"/>
  <c r="S577" i="6" s="1"/>
  <c r="K620" i="6"/>
  <c r="S620" i="6" s="1"/>
  <c r="K27" i="9"/>
  <c r="K41" i="9" s="1"/>
  <c r="I49" i="13"/>
  <c r="N6" i="2" s="1"/>
  <c r="M79" i="6"/>
  <c r="S150" i="6"/>
  <c r="S162" i="6"/>
  <c r="S261" i="6"/>
  <c r="S312" i="6"/>
  <c r="S534" i="6"/>
  <c r="G58" i="7"/>
  <c r="I58" i="7" s="1"/>
  <c r="K19" i="6"/>
  <c r="O19" i="6" s="1"/>
  <c r="S20" i="6"/>
  <c r="S21" i="6"/>
  <c r="K28" i="6"/>
  <c r="S28" i="6" s="1"/>
  <c r="K55" i="6"/>
  <c r="S55" i="6" s="1"/>
  <c r="Q80" i="6"/>
  <c r="S82" i="6"/>
  <c r="O87" i="6"/>
  <c r="S87" i="6"/>
  <c r="Q128" i="6"/>
  <c r="K134" i="6"/>
  <c r="S134" i="6" s="1"/>
  <c r="Q134" i="6"/>
  <c r="Q145" i="6"/>
  <c r="K145" i="6"/>
  <c r="L145" i="6" s="1"/>
  <c r="S56" i="6"/>
  <c r="P56" i="6"/>
  <c r="S157" i="6"/>
  <c r="M157" i="6"/>
  <c r="H25" i="5" s="1"/>
  <c r="M25" i="5" s="1"/>
  <c r="S25" i="5" s="1"/>
  <c r="K8" i="6"/>
  <c r="S8" i="6" s="1"/>
  <c r="Q10" i="6"/>
  <c r="K22" i="6"/>
  <c r="O22" i="6" s="1"/>
  <c r="K24" i="6"/>
  <c r="S24" i="6" s="1"/>
  <c r="S62" i="6"/>
  <c r="P62" i="6"/>
  <c r="Q72" i="6"/>
  <c r="K72" i="6"/>
  <c r="O72" i="6" s="1"/>
  <c r="Q88" i="6"/>
  <c r="Q124" i="6"/>
  <c r="Q132" i="6"/>
  <c r="Q152" i="6"/>
  <c r="S57" i="6"/>
  <c r="P57" i="6"/>
  <c r="S58" i="6"/>
  <c r="S70" i="6"/>
  <c r="P70" i="6"/>
  <c r="K73" i="6"/>
  <c r="O73" i="6" s="1"/>
  <c r="Q73" i="6"/>
  <c r="M122" i="6"/>
  <c r="Q141" i="6"/>
  <c r="K141" i="6"/>
  <c r="S141" i="6" s="1"/>
  <c r="S149" i="6"/>
  <c r="S156" i="6"/>
  <c r="Y25" i="5" s="1"/>
  <c r="N156" i="6"/>
  <c r="K158" i="6"/>
  <c r="S158" i="6" s="1"/>
  <c r="Q158" i="6"/>
  <c r="S161" i="6"/>
  <c r="Q271" i="6"/>
  <c r="S273" i="6"/>
  <c r="X12" i="5" s="1"/>
  <c r="Q281" i="6"/>
  <c r="Q301" i="6"/>
  <c r="S316" i="6"/>
  <c r="S320" i="6"/>
  <c r="M330" i="6"/>
  <c r="M331" i="6"/>
  <c r="M332" i="6"/>
  <c r="M333" i="6"/>
  <c r="M402" i="6"/>
  <c r="M414" i="6"/>
  <c r="Q61" i="6"/>
  <c r="S76" i="6"/>
  <c r="S78" i="6"/>
  <c r="N160" i="6"/>
  <c r="S167" i="6"/>
  <c r="Q185" i="6"/>
  <c r="Q211" i="6"/>
  <c r="K219" i="6"/>
  <c r="S219" i="6" s="1"/>
  <c r="K221" i="6"/>
  <c r="L221" i="6" s="1"/>
  <c r="P223" i="6"/>
  <c r="K9" i="5" s="1"/>
  <c r="K224" i="6"/>
  <c r="S224" i="6" s="1"/>
  <c r="K226" i="6"/>
  <c r="L226" i="6" s="1"/>
  <c r="K228" i="6"/>
  <c r="S228" i="6" s="1"/>
  <c r="K230" i="6"/>
  <c r="L230" i="6" s="1"/>
  <c r="Q254" i="6"/>
  <c r="S258" i="6"/>
  <c r="S270" i="6"/>
  <c r="K298" i="6"/>
  <c r="L298" i="6" s="1"/>
  <c r="K307" i="6"/>
  <c r="S307" i="6" s="1"/>
  <c r="S310" i="6"/>
  <c r="S313" i="6"/>
  <c r="S327" i="6"/>
  <c r="Q344" i="6"/>
  <c r="S346" i="6"/>
  <c r="X14" i="5" s="1"/>
  <c r="N347" i="6"/>
  <c r="Q370" i="6"/>
  <c r="K387" i="6"/>
  <c r="L387" i="6" s="1"/>
  <c r="P398" i="6"/>
  <c r="M401" i="6"/>
  <c r="M409" i="6"/>
  <c r="M416" i="6"/>
  <c r="P423" i="6"/>
  <c r="P431" i="6"/>
  <c r="M434" i="6"/>
  <c r="Q450" i="6"/>
  <c r="K455" i="6"/>
  <c r="L455" i="6" s="1"/>
  <c r="P462" i="6"/>
  <c r="Q473" i="6"/>
  <c r="K484" i="6"/>
  <c r="L484" i="6" s="1"/>
  <c r="K491" i="6"/>
  <c r="S491" i="6" s="1"/>
  <c r="P501" i="6"/>
  <c r="K505" i="6"/>
  <c r="S505" i="6" s="1"/>
  <c r="P558" i="6"/>
  <c r="K561" i="6"/>
  <c r="S561" i="6" s="1"/>
  <c r="Z26" i="5" s="1"/>
  <c r="K573" i="6"/>
  <c r="L573" i="6" s="1"/>
  <c r="S586" i="6"/>
  <c r="P599" i="6"/>
  <c r="L600" i="6"/>
  <c r="P602" i="6"/>
  <c r="K615" i="6"/>
  <c r="L615" i="6" s="1"/>
  <c r="K617" i="6"/>
  <c r="O617" i="6" s="1"/>
  <c r="K27" i="8"/>
  <c r="K41" i="8" s="1"/>
  <c r="S309" i="6"/>
  <c r="S326" i="6"/>
  <c r="M408" i="6"/>
  <c r="M482" i="6"/>
  <c r="M494" i="6"/>
  <c r="S606" i="6"/>
  <c r="K29" i="9"/>
  <c r="K43" i="9" s="1"/>
  <c r="Q181" i="6"/>
  <c r="L202" i="6"/>
  <c r="Q215" i="6"/>
  <c r="Q259" i="6"/>
  <c r="P336" i="6"/>
  <c r="K354" i="6"/>
  <c r="S354" i="6" s="1"/>
  <c r="K366" i="6"/>
  <c r="S366" i="6" s="1"/>
  <c r="M405" i="6"/>
  <c r="K419" i="6"/>
  <c r="S419" i="6" s="1"/>
  <c r="K453" i="6"/>
  <c r="S453" i="6" s="1"/>
  <c r="P474" i="6"/>
  <c r="K487" i="6"/>
  <c r="S487" i="6" s="1"/>
  <c r="K490" i="6"/>
  <c r="L490" i="6" s="1"/>
  <c r="K503" i="6"/>
  <c r="M504" i="6"/>
  <c r="K510" i="6"/>
  <c r="L535" i="6"/>
  <c r="S546" i="6"/>
  <c r="S554" i="6"/>
  <c r="P564" i="6"/>
  <c r="L576" i="6"/>
  <c r="K582" i="6"/>
  <c r="S582" i="6" s="1"/>
  <c r="K607" i="6"/>
  <c r="S607" i="6" s="1"/>
  <c r="K610" i="6"/>
  <c r="S610" i="6" s="1"/>
  <c r="K613" i="6"/>
  <c r="S613" i="6" s="1"/>
  <c r="K614" i="6"/>
  <c r="S614" i="6" s="1"/>
  <c r="Q616" i="6"/>
  <c r="K27" i="7"/>
  <c r="K41" i="7" s="1"/>
  <c r="K76" i="3"/>
  <c r="K77" i="3"/>
  <c r="K79" i="3"/>
  <c r="K48" i="3"/>
  <c r="K23" i="3"/>
  <c r="Y23" i="3" s="1"/>
  <c r="K21" i="3"/>
  <c r="Y21" i="3" s="1"/>
  <c r="K25" i="3"/>
  <c r="Y25" i="3" s="1"/>
  <c r="K101" i="3"/>
  <c r="Y101" i="3" s="1"/>
  <c r="M18" i="5"/>
  <c r="S18" i="5" s="1"/>
  <c r="AC18" i="5" s="1"/>
  <c r="K66" i="6"/>
  <c r="S66" i="6" s="1"/>
  <c r="M135" i="6"/>
  <c r="Q163" i="6"/>
  <c r="S168" i="6"/>
  <c r="Q171" i="6"/>
  <c r="Q173" i="6"/>
  <c r="Q175" i="6"/>
  <c r="Q177" i="6"/>
  <c r="L194" i="6"/>
  <c r="Q203" i="6"/>
  <c r="Q205" i="6"/>
  <c r="Q207" i="6"/>
  <c r="Q209" i="6"/>
  <c r="L231" i="6"/>
  <c r="Q244" i="6"/>
  <c r="Q246" i="6"/>
  <c r="Q248" i="6"/>
  <c r="Q250" i="6"/>
  <c r="Q278" i="6"/>
  <c r="K291" i="6"/>
  <c r="S291" i="6" s="1"/>
  <c r="S300" i="6"/>
  <c r="K304" i="6"/>
  <c r="O304" i="6" s="1"/>
  <c r="S314" i="6"/>
  <c r="S322" i="6"/>
  <c r="S325" i="6"/>
  <c r="Q372" i="6"/>
  <c r="Q380" i="6"/>
  <c r="Q388" i="6"/>
  <c r="Q390" i="6"/>
  <c r="Q392" i="6"/>
  <c r="Q394" i="6"/>
  <c r="M396" i="6"/>
  <c r="P399" i="6"/>
  <c r="M403" i="6"/>
  <c r="M406" i="6"/>
  <c r="M410" i="6"/>
  <c r="Q426" i="6"/>
  <c r="Q438" i="6"/>
  <c r="K438" i="6"/>
  <c r="L438" i="6" s="1"/>
  <c r="S443" i="6"/>
  <c r="Y20" i="5" s="1"/>
  <c r="N443" i="6"/>
  <c r="Q453" i="6"/>
  <c r="K456" i="6"/>
  <c r="S456" i="6" s="1"/>
  <c r="Q456" i="6"/>
  <c r="P465" i="6"/>
  <c r="S465" i="6"/>
  <c r="S466" i="6"/>
  <c r="X21" i="5" s="1"/>
  <c r="Q483" i="6"/>
  <c r="K483" i="6"/>
  <c r="S483" i="6" s="1"/>
  <c r="Q497" i="6"/>
  <c r="K497" i="6"/>
  <c r="K500" i="6"/>
  <c r="Q500" i="6"/>
  <c r="S539" i="6"/>
  <c r="N539" i="6"/>
  <c r="S540" i="6"/>
  <c r="S565" i="6"/>
  <c r="P565" i="6"/>
  <c r="M584" i="6"/>
  <c r="S584" i="6"/>
  <c r="S619" i="6"/>
  <c r="M619" i="6"/>
  <c r="S299" i="6"/>
  <c r="L299" i="6"/>
  <c r="O315" i="6"/>
  <c r="S315" i="6"/>
  <c r="S404" i="6"/>
  <c r="N404" i="6"/>
  <c r="S411" i="6"/>
  <c r="N411" i="6"/>
  <c r="S413" i="6"/>
  <c r="N413" i="6"/>
  <c r="S418" i="6"/>
  <c r="P418" i="6"/>
  <c r="S430" i="6"/>
  <c r="P430" i="6"/>
  <c r="Q457" i="6"/>
  <c r="K457" i="6"/>
  <c r="Q495" i="6"/>
  <c r="K495" i="6"/>
  <c r="S495" i="6" s="1"/>
  <c r="Q498" i="6"/>
  <c r="K498" i="6"/>
  <c r="S498" i="6" s="1"/>
  <c r="Q508" i="6"/>
  <c r="K508" i="6"/>
  <c r="K525" i="6"/>
  <c r="L525" i="6" s="1"/>
  <c r="Q525" i="6"/>
  <c r="L574" i="6"/>
  <c r="S574" i="6"/>
  <c r="S608" i="6"/>
  <c r="P608" i="6"/>
  <c r="B39" i="7"/>
  <c r="K25" i="7"/>
  <c r="K39" i="7" s="1"/>
  <c r="S6" i="6"/>
  <c r="K18" i="6"/>
  <c r="S18" i="6" s="1"/>
  <c r="K48" i="6"/>
  <c r="S48" i="6" s="1"/>
  <c r="K68" i="6"/>
  <c r="S68" i="6" s="1"/>
  <c r="K71" i="6"/>
  <c r="K74" i="6"/>
  <c r="S74" i="6" s="1"/>
  <c r="Q77" i="6"/>
  <c r="M85" i="6"/>
  <c r="K97" i="6"/>
  <c r="S97" i="6" s="1"/>
  <c r="K105" i="6"/>
  <c r="S105" i="6" s="1"/>
  <c r="K114" i="6"/>
  <c r="S114" i="6" s="1"/>
  <c r="K116" i="6"/>
  <c r="S116" i="6" s="1"/>
  <c r="K118" i="6"/>
  <c r="S118" i="6" s="1"/>
  <c r="K120" i="6"/>
  <c r="S120" i="6" s="1"/>
  <c r="M121" i="6"/>
  <c r="K169" i="6"/>
  <c r="L169" i="6" s="1"/>
  <c r="L178" i="6"/>
  <c r="K195" i="6"/>
  <c r="L195" i="6" s="1"/>
  <c r="K197" i="6"/>
  <c r="L197" i="6" s="1"/>
  <c r="K199" i="6"/>
  <c r="L199" i="6" s="1"/>
  <c r="K201" i="6"/>
  <c r="L201" i="6" s="1"/>
  <c r="L210" i="6"/>
  <c r="K232" i="6"/>
  <c r="L232" i="6" s="1"/>
  <c r="K234" i="6"/>
  <c r="L234" i="6" s="1"/>
  <c r="K236" i="6"/>
  <c r="S236" i="6" s="1"/>
  <c r="K238" i="6"/>
  <c r="L238" i="6" s="1"/>
  <c r="K240" i="6"/>
  <c r="S240" i="6" s="1"/>
  <c r="K242" i="6"/>
  <c r="L242" i="6" s="1"/>
  <c r="L251" i="6"/>
  <c r="K266" i="6"/>
  <c r="L266" i="6" s="1"/>
  <c r="K267" i="6"/>
  <c r="S267" i="6" s="1"/>
  <c r="K283" i="6"/>
  <c r="L283" i="6" s="1"/>
  <c r="K295" i="6"/>
  <c r="S295" i="6" s="1"/>
  <c r="O311" i="6"/>
  <c r="S311" i="6"/>
  <c r="Q318" i="6"/>
  <c r="P335" i="6"/>
  <c r="Q340" i="6"/>
  <c r="K355" i="6"/>
  <c r="S355" i="6" s="1"/>
  <c r="Q368" i="6"/>
  <c r="Q376" i="6"/>
  <c r="Q384" i="6"/>
  <c r="P397" i="6"/>
  <c r="S400" i="6"/>
  <c r="N400" i="6"/>
  <c r="S415" i="6"/>
  <c r="N415" i="6"/>
  <c r="S432" i="6"/>
  <c r="P432" i="6"/>
  <c r="Q441" i="6"/>
  <c r="Q448" i="6"/>
  <c r="S458" i="6"/>
  <c r="P458" i="6"/>
  <c r="Q463" i="6"/>
  <c r="K463" i="6"/>
  <c r="S463" i="6" s="1"/>
  <c r="Q509" i="6"/>
  <c r="K509" i="6"/>
  <c r="Q605" i="6"/>
  <c r="K605" i="6"/>
  <c r="S605" i="6" s="1"/>
  <c r="S5" i="6"/>
  <c r="S11" i="6"/>
  <c r="S59" i="6"/>
  <c r="M65" i="6"/>
  <c r="N86" i="6"/>
  <c r="I5" i="5" s="1"/>
  <c r="N5" i="5" s="1"/>
  <c r="T5" i="5" s="1"/>
  <c r="L186" i="6"/>
  <c r="L218" i="6"/>
  <c r="K293" i="6"/>
  <c r="O293" i="6" s="1"/>
  <c r="S323" i="6"/>
  <c r="M328" i="6"/>
  <c r="S328" i="6"/>
  <c r="Q374" i="6"/>
  <c r="Q382" i="6"/>
  <c r="M407" i="6"/>
  <c r="S412" i="6"/>
  <c r="N412" i="6"/>
  <c r="S417" i="6"/>
  <c r="N417" i="6"/>
  <c r="Q428" i="6"/>
  <c r="M439" i="6"/>
  <c r="Q444" i="6"/>
  <c r="M447" i="6"/>
  <c r="S460" i="6"/>
  <c r="S477" i="6"/>
  <c r="M524" i="6"/>
  <c r="S524" i="6"/>
  <c r="S581" i="6"/>
  <c r="AA28" i="5" s="1"/>
  <c r="P581" i="6"/>
  <c r="K28" i="5" s="1"/>
  <c r="P28" i="5" s="1"/>
  <c r="V28" i="5" s="1"/>
  <c r="S609" i="6"/>
  <c r="P609" i="6"/>
  <c r="L485" i="6"/>
  <c r="S485" i="6"/>
  <c r="Q522" i="6"/>
  <c r="K522" i="6"/>
  <c r="L522" i="6" s="1"/>
  <c r="S541" i="6"/>
  <c r="L541" i="6"/>
  <c r="S549" i="6"/>
  <c r="M549" i="6"/>
  <c r="S566" i="6"/>
  <c r="M566" i="6"/>
  <c r="K568" i="6"/>
  <c r="Q572" i="6"/>
  <c r="K572" i="6"/>
  <c r="S572" i="6" s="1"/>
  <c r="K580" i="6"/>
  <c r="Q580" i="6"/>
  <c r="S611" i="6"/>
  <c r="P611" i="6"/>
  <c r="K386" i="6"/>
  <c r="S386" i="6" s="1"/>
  <c r="K507" i="6"/>
  <c r="Q507" i="6"/>
  <c r="L515" i="6"/>
  <c r="S515" i="6"/>
  <c r="Q537" i="6"/>
  <c r="K537" i="6"/>
  <c r="L537" i="6" s="1"/>
  <c r="K550" i="6"/>
  <c r="L550" i="6" s="1"/>
  <c r="S567" i="6"/>
  <c r="M567" i="6"/>
  <c r="S571" i="6"/>
  <c r="L571" i="6"/>
  <c r="O616" i="6"/>
  <c r="S616" i="6"/>
  <c r="AI19" i="2"/>
  <c r="AB5" i="2" s="1"/>
  <c r="J99" i="3" s="1"/>
  <c r="K99" i="3" s="1"/>
  <c r="I60" i="7"/>
  <c r="B39" i="8"/>
  <c r="K25" i="8"/>
  <c r="K39" i="8" s="1"/>
  <c r="K461" i="6"/>
  <c r="K496" i="6"/>
  <c r="L496" i="6" s="1"/>
  <c r="N545" i="6"/>
  <c r="I26" i="5" s="1"/>
  <c r="N26" i="5" s="1"/>
  <c r="T26" i="5" s="1"/>
  <c r="K547" i="6"/>
  <c r="K555" i="6"/>
  <c r="K31" i="9"/>
  <c r="K45" i="9" s="1"/>
  <c r="I50" i="11"/>
  <c r="N4" i="2" s="1"/>
  <c r="AG19" i="2"/>
  <c r="AB4" i="2" s="1"/>
  <c r="J87" i="3" s="1"/>
  <c r="K29" i="7"/>
  <c r="K43" i="7" s="1"/>
  <c r="K29" i="8"/>
  <c r="K43" i="8" s="1"/>
  <c r="I50" i="12"/>
  <c r="N5" i="2" s="1"/>
  <c r="K8" i="2" s="1"/>
  <c r="K25" i="9"/>
  <c r="K39" i="9" s="1"/>
  <c r="O77" i="6"/>
  <c r="S77" i="6"/>
  <c r="L31" i="6"/>
  <c r="S31" i="6"/>
  <c r="O39" i="6"/>
  <c r="S39" i="6"/>
  <c r="O4" i="6"/>
  <c r="S4" i="6"/>
  <c r="O10" i="6"/>
  <c r="S10" i="6"/>
  <c r="L13" i="6"/>
  <c r="K15" i="6"/>
  <c r="K16" i="6"/>
  <c r="Q17" i="6"/>
  <c r="L23" i="6"/>
  <c r="K25" i="6"/>
  <c r="K26" i="6"/>
  <c r="Q27" i="6"/>
  <c r="O49" i="6"/>
  <c r="O53" i="6"/>
  <c r="P54" i="6"/>
  <c r="K91" i="6"/>
  <c r="K94" i="6"/>
  <c r="K95" i="6"/>
  <c r="K98" i="6"/>
  <c r="K99" i="6"/>
  <c r="K102" i="6"/>
  <c r="K103" i="6"/>
  <c r="K106" i="6"/>
  <c r="K107" i="6"/>
  <c r="Q115" i="6"/>
  <c r="K115" i="6"/>
  <c r="Q119" i="6"/>
  <c r="K119" i="6"/>
  <c r="K123" i="6"/>
  <c r="Q123" i="6"/>
  <c r="K127" i="6"/>
  <c r="Q127" i="6"/>
  <c r="K131" i="6"/>
  <c r="Q131" i="6"/>
  <c r="O132" i="6"/>
  <c r="Q140" i="6"/>
  <c r="K140" i="6"/>
  <c r="Q165" i="6"/>
  <c r="K165" i="6"/>
  <c r="Q229" i="6"/>
  <c r="K229" i="6"/>
  <c r="O255" i="6"/>
  <c r="S255" i="6"/>
  <c r="Q260" i="6"/>
  <c r="K260" i="6"/>
  <c r="Q268" i="6"/>
  <c r="K268" i="6"/>
  <c r="Q280" i="6"/>
  <c r="K280" i="6"/>
  <c r="Q292" i="6"/>
  <c r="K292" i="6"/>
  <c r="O301" i="6"/>
  <c r="S338" i="6"/>
  <c r="L338" i="6"/>
  <c r="O391" i="6"/>
  <c r="S391" i="6"/>
  <c r="S395" i="6"/>
  <c r="L395" i="6"/>
  <c r="S422" i="6"/>
  <c r="L422" i="6"/>
  <c r="S427" i="6"/>
  <c r="L427" i="6"/>
  <c r="S440" i="6"/>
  <c r="L440" i="6"/>
  <c r="R18" i="5"/>
  <c r="K3" i="6"/>
  <c r="K9" i="6"/>
  <c r="Q13" i="6"/>
  <c r="S17" i="6"/>
  <c r="Q23" i="6"/>
  <c r="S27" i="6"/>
  <c r="K38" i="6"/>
  <c r="O44" i="6"/>
  <c r="K45" i="6"/>
  <c r="K46" i="6"/>
  <c r="O52" i="6"/>
  <c r="P69" i="6"/>
  <c r="P83" i="6"/>
  <c r="K84" i="6"/>
  <c r="O88" i="6"/>
  <c r="Q92" i="6"/>
  <c r="Q96" i="6"/>
  <c r="Q100" i="6"/>
  <c r="Q104" i="6"/>
  <c r="Q110" i="6"/>
  <c r="K110" i="6"/>
  <c r="M112" i="6"/>
  <c r="O126" i="6"/>
  <c r="O130" i="6"/>
  <c r="M137" i="6"/>
  <c r="K146" i="6"/>
  <c r="Q146" i="6"/>
  <c r="Q153" i="6"/>
  <c r="K153" i="6"/>
  <c r="S171" i="6"/>
  <c r="L171" i="6"/>
  <c r="L174" i="6"/>
  <c r="Q176" i="6"/>
  <c r="K176" i="6"/>
  <c r="S179" i="6"/>
  <c r="L179" i="6"/>
  <c r="L182" i="6"/>
  <c r="Q184" i="6"/>
  <c r="K184" i="6"/>
  <c r="L190" i="6"/>
  <c r="Q192" i="6"/>
  <c r="K192" i="6"/>
  <c r="L198" i="6"/>
  <c r="Q200" i="6"/>
  <c r="K200" i="6"/>
  <c r="S203" i="6"/>
  <c r="L203" i="6"/>
  <c r="L206" i="6"/>
  <c r="Q208" i="6"/>
  <c r="K208" i="6"/>
  <c r="S211" i="6"/>
  <c r="L211" i="6"/>
  <c r="L214" i="6"/>
  <c r="Q216" i="6"/>
  <c r="K216" i="6"/>
  <c r="L222" i="6"/>
  <c r="L239" i="6"/>
  <c r="Q241" i="6"/>
  <c r="K241" i="6"/>
  <c r="S244" i="6"/>
  <c r="L244" i="6"/>
  <c r="L247" i="6"/>
  <c r="Q249" i="6"/>
  <c r="K249" i="6"/>
  <c r="S252" i="6"/>
  <c r="L252" i="6"/>
  <c r="O264" i="6"/>
  <c r="S264" i="6"/>
  <c r="Q272" i="6"/>
  <c r="K272" i="6"/>
  <c r="O277" i="6"/>
  <c r="S277" i="6"/>
  <c r="O294" i="6"/>
  <c r="S294" i="6"/>
  <c r="Q297" i="6"/>
  <c r="K297" i="6"/>
  <c r="S12" i="6"/>
  <c r="O29" i="6"/>
  <c r="K30" i="6"/>
  <c r="Q32" i="6"/>
  <c r="Q40" i="6"/>
  <c r="Q47" i="6"/>
  <c r="O51" i="6"/>
  <c r="Q67" i="6"/>
  <c r="O80" i="6"/>
  <c r="K81" i="6"/>
  <c r="Q87" i="6"/>
  <c r="M89" i="6"/>
  <c r="S92" i="6"/>
  <c r="S96" i="6"/>
  <c r="S100" i="6"/>
  <c r="S104" i="6"/>
  <c r="K113" i="6"/>
  <c r="Q113" i="6"/>
  <c r="K117" i="6"/>
  <c r="Q117" i="6"/>
  <c r="Q125" i="6"/>
  <c r="K125" i="6"/>
  <c r="Q129" i="6"/>
  <c r="K129" i="6"/>
  <c r="M136" i="6"/>
  <c r="K138" i="6"/>
  <c r="Q138" i="6"/>
  <c r="K142" i="6"/>
  <c r="Q142" i="6"/>
  <c r="K151" i="6"/>
  <c r="O155" i="6"/>
  <c r="J25" i="5" s="1"/>
  <c r="O25" i="5" s="1"/>
  <c r="U25" i="5" s="1"/>
  <c r="S155" i="6"/>
  <c r="Q159" i="6"/>
  <c r="K159" i="6"/>
  <c r="L164" i="6"/>
  <c r="Q225" i="6"/>
  <c r="K225" i="6"/>
  <c r="Q233" i="6"/>
  <c r="K233" i="6"/>
  <c r="S259" i="6"/>
  <c r="L259" i="6"/>
  <c r="O271" i="6"/>
  <c r="S279" i="6"/>
  <c r="P279" i="6"/>
  <c r="Q284" i="6"/>
  <c r="K284" i="6"/>
  <c r="O296" i="6"/>
  <c r="S319" i="6"/>
  <c r="L319" i="6"/>
  <c r="S343" i="6"/>
  <c r="L343" i="6"/>
  <c r="S369" i="6"/>
  <c r="L369" i="6"/>
  <c r="S373" i="6"/>
  <c r="L373" i="6"/>
  <c r="S377" i="6"/>
  <c r="L377" i="6"/>
  <c r="S381" i="6"/>
  <c r="L381" i="6"/>
  <c r="S385" i="6"/>
  <c r="L385" i="6"/>
  <c r="O50" i="6"/>
  <c r="K108" i="6"/>
  <c r="Q108" i="6"/>
  <c r="O124" i="6"/>
  <c r="O128" i="6"/>
  <c r="Q133" i="6"/>
  <c r="K133" i="6"/>
  <c r="Q144" i="6"/>
  <c r="K144" i="6"/>
  <c r="Q148" i="6"/>
  <c r="K148" i="6"/>
  <c r="S152" i="6"/>
  <c r="L152" i="6"/>
  <c r="Q172" i="6"/>
  <c r="K172" i="6"/>
  <c r="S175" i="6"/>
  <c r="L175" i="6"/>
  <c r="Q180" i="6"/>
  <c r="K180" i="6"/>
  <c r="S183" i="6"/>
  <c r="L183" i="6"/>
  <c r="Q188" i="6"/>
  <c r="K188" i="6"/>
  <c r="Q196" i="6"/>
  <c r="K196" i="6"/>
  <c r="Q204" i="6"/>
  <c r="K204" i="6"/>
  <c r="S207" i="6"/>
  <c r="L207" i="6"/>
  <c r="Q212" i="6"/>
  <c r="K212" i="6"/>
  <c r="S215" i="6"/>
  <c r="L215" i="6"/>
  <c r="Q220" i="6"/>
  <c r="K220" i="6"/>
  <c r="O227" i="6"/>
  <c r="S227" i="6"/>
  <c r="O235" i="6"/>
  <c r="S235" i="6"/>
  <c r="Q237" i="6"/>
  <c r="K237" i="6"/>
  <c r="Q245" i="6"/>
  <c r="K245" i="6"/>
  <c r="S248" i="6"/>
  <c r="L248" i="6"/>
  <c r="Q253" i="6"/>
  <c r="K253" i="6"/>
  <c r="Q265" i="6"/>
  <c r="K265" i="6"/>
  <c r="O278" i="6"/>
  <c r="O290" i="6"/>
  <c r="S290" i="6"/>
  <c r="O306" i="6"/>
  <c r="S306" i="6"/>
  <c r="O302" i="6"/>
  <c r="O370" i="6"/>
  <c r="O388" i="6"/>
  <c r="O392" i="6"/>
  <c r="O499" i="6"/>
  <c r="Q588" i="6"/>
  <c r="K588" i="6"/>
  <c r="K591" i="6"/>
  <c r="Q591" i="6"/>
  <c r="S622" i="6"/>
  <c r="Y27" i="5" s="1"/>
  <c r="N622" i="6"/>
  <c r="B42" i="7"/>
  <c r="S154" i="6"/>
  <c r="Q155" i="6"/>
  <c r="S163" i="6"/>
  <c r="Q164" i="6"/>
  <c r="Q170" i="6"/>
  <c r="S173" i="6"/>
  <c r="Q174" i="6"/>
  <c r="S177" i="6"/>
  <c r="Q178" i="6"/>
  <c r="S181" i="6"/>
  <c r="Q182" i="6"/>
  <c r="S185" i="6"/>
  <c r="Q186" i="6"/>
  <c r="Q190" i="6"/>
  <c r="Q194" i="6"/>
  <c r="Q198" i="6"/>
  <c r="Q202" i="6"/>
  <c r="S205" i="6"/>
  <c r="Q206" i="6"/>
  <c r="S209" i="6"/>
  <c r="Q210" i="6"/>
  <c r="S213" i="6"/>
  <c r="Q214" i="6"/>
  <c r="S217" i="6"/>
  <c r="Q218" i="6"/>
  <c r="Q222" i="6"/>
  <c r="Q227" i="6"/>
  <c r="Q231" i="6"/>
  <c r="Q235" i="6"/>
  <c r="Q239" i="6"/>
  <c r="Q243" i="6"/>
  <c r="S246" i="6"/>
  <c r="Q247" i="6"/>
  <c r="S250" i="6"/>
  <c r="Q251" i="6"/>
  <c r="S254" i="6"/>
  <c r="Q255" i="6"/>
  <c r="S263" i="6"/>
  <c r="Q264" i="6"/>
  <c r="S276" i="6"/>
  <c r="Q277" i="6"/>
  <c r="S281" i="6"/>
  <c r="Q282" i="6"/>
  <c r="Q290" i="6"/>
  <c r="Q294" i="6"/>
  <c r="Q299" i="6"/>
  <c r="K303" i="6"/>
  <c r="S305" i="6"/>
  <c r="Q306" i="6"/>
  <c r="K308" i="6"/>
  <c r="S318" i="6"/>
  <c r="Q319" i="6"/>
  <c r="K324" i="6"/>
  <c r="K334" i="6"/>
  <c r="S337" i="6"/>
  <c r="Q338" i="6"/>
  <c r="K339" i="6"/>
  <c r="S340" i="6"/>
  <c r="S341" i="6"/>
  <c r="S342" i="6"/>
  <c r="Q343" i="6"/>
  <c r="L344" i="6"/>
  <c r="K345" i="6"/>
  <c r="P349" i="6"/>
  <c r="K353" i="6"/>
  <c r="N365" i="6"/>
  <c r="K367" i="6"/>
  <c r="S368" i="6"/>
  <c r="Q369" i="6"/>
  <c r="K371" i="6"/>
  <c r="S372" i="6"/>
  <c r="Q373" i="6"/>
  <c r="L374" i="6"/>
  <c r="K375" i="6"/>
  <c r="S376" i="6"/>
  <c r="Z16" i="5" s="1"/>
  <c r="Q377" i="6"/>
  <c r="L378" i="6"/>
  <c r="K379" i="6"/>
  <c r="S380" i="6"/>
  <c r="Q381" i="6"/>
  <c r="L382" i="6"/>
  <c r="K383" i="6"/>
  <c r="S384" i="6"/>
  <c r="Q385" i="6"/>
  <c r="K389" i="6"/>
  <c r="S390" i="6"/>
  <c r="Q391" i="6"/>
  <c r="K393" i="6"/>
  <c r="S394" i="6"/>
  <c r="Q395" i="6"/>
  <c r="K420" i="6"/>
  <c r="Q422" i="6"/>
  <c r="L424" i="6"/>
  <c r="K425" i="6"/>
  <c r="S426" i="6"/>
  <c r="Q427" i="6"/>
  <c r="L428" i="6"/>
  <c r="K429" i="6"/>
  <c r="K437" i="6"/>
  <c r="Q440" i="6"/>
  <c r="L441" i="6"/>
  <c r="K442" i="6"/>
  <c r="S444" i="6"/>
  <c r="N446" i="6"/>
  <c r="K449" i="6"/>
  <c r="S450" i="6"/>
  <c r="S451" i="6"/>
  <c r="S452" i="6"/>
  <c r="K454" i="6"/>
  <c r="K459" i="6"/>
  <c r="K464" i="6"/>
  <c r="Q468" i="6"/>
  <c r="K488" i="6"/>
  <c r="Q489" i="6"/>
  <c r="K506" i="6"/>
  <c r="M517" i="6"/>
  <c r="S517" i="6"/>
  <c r="M519" i="6"/>
  <c r="S519" i="6"/>
  <c r="M521" i="6"/>
  <c r="S521" i="6"/>
  <c r="N523" i="6"/>
  <c r="K553" i="6"/>
  <c r="K557" i="6"/>
  <c r="K563" i="6"/>
  <c r="Q585" i="6"/>
  <c r="K590" i="6"/>
  <c r="S593" i="6"/>
  <c r="M593" i="6"/>
  <c r="P604" i="6"/>
  <c r="K24" i="7"/>
  <c r="K38" i="7" s="1"/>
  <c r="K26" i="7"/>
  <c r="K40" i="7" s="1"/>
  <c r="K30" i="7"/>
  <c r="K44" i="7" s="1"/>
  <c r="K32" i="7"/>
  <c r="K46" i="7" s="1"/>
  <c r="M348" i="6"/>
  <c r="M351" i="6"/>
  <c r="M352" i="6"/>
  <c r="M356" i="6"/>
  <c r="M358" i="6"/>
  <c r="M360" i="6"/>
  <c r="M436" i="6"/>
  <c r="S468" i="6"/>
  <c r="K475" i="6"/>
  <c r="S476" i="6"/>
  <c r="S489" i="6"/>
  <c r="Q493" i="6"/>
  <c r="S544" i="6"/>
  <c r="S551" i="6"/>
  <c r="S579" i="6"/>
  <c r="O579" i="6"/>
  <c r="S585" i="6"/>
  <c r="M589" i="6"/>
  <c r="S589" i="6"/>
  <c r="K596" i="6"/>
  <c r="Q596" i="6"/>
  <c r="M623" i="6"/>
  <c r="S623" i="6"/>
  <c r="N350" i="6"/>
  <c r="N357" i="6"/>
  <c r="N359" i="6"/>
  <c r="N361" i="6"/>
  <c r="N362" i="6"/>
  <c r="S467" i="6"/>
  <c r="Q478" i="6"/>
  <c r="Q485" i="6"/>
  <c r="K492" i="6"/>
  <c r="S493" i="6"/>
  <c r="S511" i="6"/>
  <c r="Q515" i="6"/>
  <c r="M518" i="6"/>
  <c r="S518" i="6"/>
  <c r="S520" i="6"/>
  <c r="N520" i="6"/>
  <c r="Q538" i="6"/>
  <c r="K542" i="6"/>
  <c r="S543" i="6"/>
  <c r="M562" i="6"/>
  <c r="S562" i="6"/>
  <c r="S570" i="6"/>
  <c r="Q574" i="6"/>
  <c r="K595" i="6"/>
  <c r="S598" i="6"/>
  <c r="AA15" i="5" s="1"/>
  <c r="P598" i="6"/>
  <c r="Q603" i="6"/>
  <c r="K603" i="6"/>
  <c r="Q621" i="6"/>
  <c r="K621" i="6"/>
  <c r="D50" i="7"/>
  <c r="B51" i="7"/>
  <c r="D51" i="7" s="1"/>
  <c r="O473" i="6"/>
  <c r="J22" i="5" s="1"/>
  <c r="O22" i="5" s="1"/>
  <c r="U22" i="5" s="1"/>
  <c r="K578" i="6"/>
  <c r="K583" i="6"/>
  <c r="Q586" i="6"/>
  <c r="L587" i="6"/>
  <c r="K601" i="6"/>
  <c r="K612" i="6"/>
  <c r="AH9" i="2"/>
  <c r="AH10" i="2" s="1"/>
  <c r="AB3" i="2" s="1"/>
  <c r="J15" i="3" s="1"/>
  <c r="O592" i="6"/>
  <c r="K28" i="8"/>
  <c r="K42" i="8" s="1"/>
  <c r="B42" i="8"/>
  <c r="N618" i="6"/>
  <c r="J60" i="8"/>
  <c r="J52" i="8"/>
  <c r="B38" i="8"/>
  <c r="K24" i="8"/>
  <c r="K38" i="8" s="1"/>
  <c r="K32" i="8"/>
  <c r="K46" i="8" s="1"/>
  <c r="B46" i="8"/>
  <c r="B40" i="8"/>
  <c r="B44" i="8"/>
  <c r="B42" i="9"/>
  <c r="K26" i="9"/>
  <c r="K40" i="9" s="1"/>
  <c r="B40" i="9"/>
  <c r="B38" i="9"/>
  <c r="K24" i="9"/>
  <c r="K38" i="9" s="1"/>
  <c r="I60" i="9"/>
  <c r="I52" i="9"/>
  <c r="B44" i="9"/>
  <c r="I50" i="10"/>
  <c r="N3" i="2" s="1"/>
  <c r="I49" i="14"/>
  <c r="N7" i="2" s="1"/>
  <c r="J61" i="3"/>
  <c r="J62" i="3"/>
  <c r="J41" i="3"/>
  <c r="J44" i="3" s="1"/>
  <c r="K44" i="3" s="1"/>
  <c r="J12" i="9"/>
  <c r="J45" i="3"/>
  <c r="K45" i="3" s="1"/>
  <c r="E18" i="9"/>
  <c r="J104" i="3"/>
  <c r="K104" i="3" s="1"/>
  <c r="Y104" i="3" s="1"/>
  <c r="J29" i="3"/>
  <c r="K29" i="3" s="1"/>
  <c r="J31" i="3"/>
  <c r="J26" i="3"/>
  <c r="K26" i="3" s="1"/>
  <c r="Y26" i="3" s="1"/>
  <c r="J30" i="3"/>
  <c r="J35" i="3" s="1"/>
  <c r="J63" i="3"/>
  <c r="K63" i="3" s="1"/>
  <c r="C9" i="7"/>
  <c r="H15" i="7" s="1"/>
  <c r="C9" i="8"/>
  <c r="K6" i="3"/>
  <c r="J82" i="3"/>
  <c r="K82" i="3" s="1"/>
  <c r="J102" i="3"/>
  <c r="K102" i="3" s="1"/>
  <c r="Y102" i="3" s="1"/>
  <c r="T18" i="5"/>
  <c r="J42" i="3"/>
  <c r="C9" i="17"/>
  <c r="E9" i="17" s="1"/>
  <c r="E17" i="8"/>
  <c r="C23" i="9"/>
  <c r="D23" i="9" s="1"/>
  <c r="F23" i="9" s="1"/>
  <c r="G23" i="9" s="1"/>
  <c r="E17" i="7"/>
  <c r="J57" i="3"/>
  <c r="J58" i="3" s="1"/>
  <c r="K58" i="3" s="1"/>
  <c r="J22" i="3"/>
  <c r="J65" i="3" s="1"/>
  <c r="K65" i="3" s="1"/>
  <c r="Z65" i="3" s="1"/>
  <c r="J32" i="3"/>
  <c r="K32" i="3" s="1"/>
  <c r="J43" i="3"/>
  <c r="J46" i="3"/>
  <c r="D57" i="7"/>
  <c r="B57" i="7" s="1"/>
  <c r="B58" i="7" s="1"/>
  <c r="B59" i="7" s="1"/>
  <c r="B61" i="7" s="1"/>
  <c r="B64" i="7" s="1"/>
  <c r="J17" i="3"/>
  <c r="J49" i="3"/>
  <c r="C16" i="17"/>
  <c r="E16" i="17" s="1"/>
  <c r="R3" i="5"/>
  <c r="J12" i="7"/>
  <c r="E18" i="7"/>
  <c r="J97" i="3"/>
  <c r="S3" i="5"/>
  <c r="V18" i="5"/>
  <c r="C23" i="7"/>
  <c r="C37" i="9"/>
  <c r="C38" i="9" s="1"/>
  <c r="J11" i="9"/>
  <c r="J47" i="3"/>
  <c r="J55" i="3"/>
  <c r="K55" i="3" s="1"/>
  <c r="J103" i="3"/>
  <c r="K103" i="3" s="1"/>
  <c r="Y103" i="3" s="1"/>
  <c r="C12" i="17"/>
  <c r="T3" i="5"/>
  <c r="C10" i="7"/>
  <c r="E17" i="9"/>
  <c r="C3" i="9"/>
  <c r="C4" i="9" s="1"/>
  <c r="C5" i="9" s="1"/>
  <c r="C6" i="9" s="1"/>
  <c r="H14" i="9"/>
  <c r="I57" i="9"/>
  <c r="G57" i="9" s="1"/>
  <c r="G58" i="9" s="1"/>
  <c r="C9" i="9"/>
  <c r="J72" i="3"/>
  <c r="K72" i="3" s="1"/>
  <c r="J81" i="3"/>
  <c r="K81" i="3" s="1"/>
  <c r="J83" i="3"/>
  <c r="K83" i="3" s="1"/>
  <c r="J114" i="3"/>
  <c r="K114" i="3" s="1"/>
  <c r="C6" i="17"/>
  <c r="E6" i="17" s="1"/>
  <c r="K10" i="2"/>
  <c r="D23" i="8"/>
  <c r="F23" i="8" s="1"/>
  <c r="G23" i="8" s="1"/>
  <c r="H23" i="8" s="1"/>
  <c r="C24" i="8"/>
  <c r="E24" i="8" s="1"/>
  <c r="K14" i="3"/>
  <c r="J18" i="3"/>
  <c r="K18" i="3" s="1"/>
  <c r="J20" i="3"/>
  <c r="J37" i="3"/>
  <c r="J39" i="3"/>
  <c r="C19" i="17"/>
  <c r="E19" i="17" s="1"/>
  <c r="V3" i="5"/>
  <c r="H14" i="7"/>
  <c r="C20" i="17"/>
  <c r="E20" i="17" s="1"/>
  <c r="C3" i="7"/>
  <c r="C4" i="7" s="1"/>
  <c r="C5" i="7" s="1"/>
  <c r="C6" i="7" s="1"/>
  <c r="J57" i="8"/>
  <c r="H57" i="8" s="1"/>
  <c r="H58" i="8" s="1"/>
  <c r="J12" i="8"/>
  <c r="E18" i="8"/>
  <c r="C10" i="8"/>
  <c r="E23" i="8"/>
  <c r="C3" i="8"/>
  <c r="C4" i="8" s="1"/>
  <c r="C5" i="8" s="1"/>
  <c r="C6" i="8" s="1"/>
  <c r="X8" i="5"/>
  <c r="X22" i="5"/>
  <c r="H22" i="5"/>
  <c r="M22" i="5" s="1"/>
  <c r="S22" i="5" s="1"/>
  <c r="X6" i="5"/>
  <c r="Y6" i="5"/>
  <c r="Y13" i="5"/>
  <c r="K13" i="5"/>
  <c r="P13" i="5" s="1"/>
  <c r="Y22" i="5"/>
  <c r="AA16" i="5"/>
  <c r="X16" i="5"/>
  <c r="J16" i="5"/>
  <c r="O16" i="5" s="1"/>
  <c r="U16" i="5" s="1"/>
  <c r="I6" i="5"/>
  <c r="N6" i="5" s="1"/>
  <c r="T6" i="5" s="1"/>
  <c r="Y4" i="5"/>
  <c r="AA17" i="5"/>
  <c r="X17" i="5"/>
  <c r="Y3" i="5"/>
  <c r="X3" i="5"/>
  <c r="W3" i="5"/>
  <c r="AA3" i="5"/>
  <c r="K7" i="5"/>
  <c r="J7" i="5"/>
  <c r="AA7" i="5"/>
  <c r="H7" i="5"/>
  <c r="Z7" i="5"/>
  <c r="Y7" i="5"/>
  <c r="X7" i="5"/>
  <c r="I15" i="5"/>
  <c r="N15" i="5" s="1"/>
  <c r="T15" i="5" s="1"/>
  <c r="Y15" i="5"/>
  <c r="AA18" i="5"/>
  <c r="Y18" i="5"/>
  <c r="W18" i="5"/>
  <c r="Y26" i="5"/>
  <c r="Z24" i="5"/>
  <c r="K24" i="5"/>
  <c r="P24" i="5" s="1"/>
  <c r="V24" i="5" s="1"/>
  <c r="J24" i="5"/>
  <c r="O24" i="5" s="1"/>
  <c r="U24" i="5" s="1"/>
  <c r="Y5" i="5"/>
  <c r="AA9" i="5"/>
  <c r="H9" i="5"/>
  <c r="Y9" i="5"/>
  <c r="X9" i="5"/>
  <c r="I9" i="5"/>
  <c r="I23" i="5"/>
  <c r="N23" i="5" s="1"/>
  <c r="T23" i="5" s="1"/>
  <c r="I28" i="5"/>
  <c r="N28" i="5" s="1"/>
  <c r="T28" i="5" s="1"/>
  <c r="Y28" i="5"/>
  <c r="H28" i="5"/>
  <c r="M28" i="5" s="1"/>
  <c r="S28" i="5" s="1"/>
  <c r="X28" i="5"/>
  <c r="Y19" i="5"/>
  <c r="X19" i="5"/>
  <c r="J19" i="5"/>
  <c r="O19" i="5" s="1"/>
  <c r="U19" i="5" s="1"/>
  <c r="K20" i="5"/>
  <c r="P20" i="5" s="1"/>
  <c r="V20" i="5" s="1"/>
  <c r="AA20" i="5"/>
  <c r="J20" i="5"/>
  <c r="O20" i="5" s="1"/>
  <c r="U20" i="5" s="1"/>
  <c r="X20" i="5"/>
  <c r="J21" i="5"/>
  <c r="O21" i="5" s="1"/>
  <c r="U21" i="5" s="1"/>
  <c r="Z21" i="5"/>
  <c r="I21" i="5"/>
  <c r="N21" i="5" s="1"/>
  <c r="T21" i="5" s="1"/>
  <c r="Y21" i="5"/>
  <c r="H21" i="5"/>
  <c r="M21" i="5" s="1"/>
  <c r="S21" i="5" s="1"/>
  <c r="AA8" i="5"/>
  <c r="H8" i="5"/>
  <c r="Z8" i="5"/>
  <c r="Y8" i="5"/>
  <c r="K8" i="5"/>
  <c r="I8" i="5"/>
  <c r="H10" i="5"/>
  <c r="Y10" i="5"/>
  <c r="K10" i="5"/>
  <c r="I12" i="5"/>
  <c r="N12" i="5" s="1"/>
  <c r="T12" i="5" s="1"/>
  <c r="Y12" i="5"/>
  <c r="H12" i="5"/>
  <c r="M12" i="5" s="1"/>
  <c r="S12" i="5" s="1"/>
  <c r="Y14" i="5"/>
  <c r="Y23" i="5"/>
  <c r="Z19" i="5"/>
  <c r="Z20" i="5"/>
  <c r="AA6" i="5"/>
  <c r="I13" i="5"/>
  <c r="N13" i="5" s="1"/>
  <c r="Z13" i="5"/>
  <c r="H16" i="5"/>
  <c r="M16" i="5" s="1"/>
  <c r="S16" i="5" s="1"/>
  <c r="Y16" i="5"/>
  <c r="I22" i="5"/>
  <c r="N22" i="5" s="1"/>
  <c r="T22" i="5" s="1"/>
  <c r="Z22" i="5"/>
  <c r="K6" i="5"/>
  <c r="P6" i="5" s="1"/>
  <c r="V6" i="5" s="1"/>
  <c r="J13" i="5"/>
  <c r="O13" i="5" s="1"/>
  <c r="I16" i="5"/>
  <c r="N16" i="5" s="1"/>
  <c r="T16" i="5" s="1"/>
  <c r="K16" i="5"/>
  <c r="P16" i="5" s="1"/>
  <c r="V16" i="5" s="1"/>
  <c r="K25" i="5"/>
  <c r="P25" i="5" s="1"/>
  <c r="V25" i="5" s="1"/>
  <c r="P34" i="5"/>
  <c r="K61" i="3" l="1"/>
  <c r="I61" i="3" s="1"/>
  <c r="R110" i="3"/>
  <c r="J53" i="3"/>
  <c r="K53" i="3" s="1"/>
  <c r="R114" i="3"/>
  <c r="S114" i="3"/>
  <c r="AA10" i="5"/>
  <c r="AA11" i="5" s="1"/>
  <c r="K15" i="5"/>
  <c r="P15" i="5" s="1"/>
  <c r="V15" i="5" s="1"/>
  <c r="AF15" i="5" s="1"/>
  <c r="O109" i="6"/>
  <c r="S73" i="3"/>
  <c r="R66" i="3"/>
  <c r="AA65" i="3"/>
  <c r="S65" i="3" s="1"/>
  <c r="X65" i="3"/>
  <c r="P65" i="3" s="1"/>
  <c r="L435" i="6"/>
  <c r="L147" i="6"/>
  <c r="S189" i="6"/>
  <c r="P481" i="6"/>
  <c r="P73" i="3"/>
  <c r="P70" i="3"/>
  <c r="O594" i="6"/>
  <c r="S617" i="6"/>
  <c r="Z27" i="5" s="1"/>
  <c r="L487" i="6"/>
  <c r="O224" i="6"/>
  <c r="S387" i="6"/>
  <c r="W17" i="5" s="1"/>
  <c r="AA25" i="5"/>
  <c r="AF25" i="5" s="1"/>
  <c r="Z10" i="5"/>
  <c r="K19" i="5"/>
  <c r="P19" i="5" s="1"/>
  <c r="V19" i="5" s="1"/>
  <c r="I4" i="5"/>
  <c r="N4" i="5" s="1"/>
  <c r="T4" i="5" s="1"/>
  <c r="AD4" i="5" s="1"/>
  <c r="P66" i="3"/>
  <c r="R65" i="3"/>
  <c r="S68" i="3"/>
  <c r="Y24" i="5"/>
  <c r="P68" i="3"/>
  <c r="Q78" i="3"/>
  <c r="AE18" i="5"/>
  <c r="H27" i="5"/>
  <c r="M27" i="5" s="1"/>
  <c r="S27" i="5" s="1"/>
  <c r="R69" i="3"/>
  <c r="S74" i="3"/>
  <c r="S70" i="3"/>
  <c r="S69" i="3"/>
  <c r="S78" i="3"/>
  <c r="R68" i="3"/>
  <c r="I25" i="5"/>
  <c r="N25" i="5" s="1"/>
  <c r="T25" i="5" s="1"/>
  <c r="AD25" i="5" s="1"/>
  <c r="P109" i="3"/>
  <c r="Z25" i="5"/>
  <c r="AE25" i="5" s="1"/>
  <c r="AA14" i="5"/>
  <c r="R74" i="3"/>
  <c r="R70" i="3"/>
  <c r="AD19" i="5"/>
  <c r="L187" i="6"/>
  <c r="P94" i="3"/>
  <c r="S94" i="3"/>
  <c r="S109" i="3"/>
  <c r="R94" i="3"/>
  <c r="Z6" i="3"/>
  <c r="R6" i="3" s="1"/>
  <c r="AA6" i="3"/>
  <c r="S6" i="3" s="1"/>
  <c r="AA44" i="3"/>
  <c r="S44" i="3" s="1"/>
  <c r="Z44" i="3"/>
  <c r="R44" i="3" s="1"/>
  <c r="Z76" i="3"/>
  <c r="R76" i="3" s="1"/>
  <c r="AA76" i="3"/>
  <c r="S76" i="3" s="1"/>
  <c r="AA83" i="3"/>
  <c r="S83" i="3" s="1"/>
  <c r="Z83" i="3"/>
  <c r="R83" i="3" s="1"/>
  <c r="Z55" i="3"/>
  <c r="R55" i="3" s="1"/>
  <c r="AA55" i="3"/>
  <c r="S55" i="3" s="1"/>
  <c r="Z32" i="3"/>
  <c r="R32" i="3" s="1"/>
  <c r="AA32" i="3"/>
  <c r="S32" i="3" s="1"/>
  <c r="X23" i="5"/>
  <c r="AA48" i="3"/>
  <c r="S48" i="3" s="1"/>
  <c r="Z48" i="3"/>
  <c r="R48" i="3" s="1"/>
  <c r="P74" i="3"/>
  <c r="Z81" i="3"/>
  <c r="R81" i="3" s="1"/>
  <c r="AA81" i="3"/>
  <c r="S81" i="3" s="1"/>
  <c r="Z45" i="3"/>
  <c r="R45" i="3" s="1"/>
  <c r="AA45" i="3"/>
  <c r="S45" i="3" s="1"/>
  <c r="S289" i="6"/>
  <c r="L37" i="6"/>
  <c r="O139" i="6"/>
  <c r="AA99" i="3"/>
  <c r="S99" i="3" s="1"/>
  <c r="Z99" i="3"/>
  <c r="R99" i="3" s="1"/>
  <c r="AA79" i="3"/>
  <c r="S79" i="3" s="1"/>
  <c r="Z79" i="3"/>
  <c r="R79" i="3" s="1"/>
  <c r="P69" i="3"/>
  <c r="Z72" i="3"/>
  <c r="R72" i="3" s="1"/>
  <c r="AA72" i="3"/>
  <c r="S72" i="3" s="1"/>
  <c r="AA58" i="3"/>
  <c r="S58" i="3" s="1"/>
  <c r="Z58" i="3"/>
  <c r="R58" i="3" s="1"/>
  <c r="Z82" i="3"/>
  <c r="R82" i="3" s="1"/>
  <c r="AA82" i="3"/>
  <c r="S82" i="3" s="1"/>
  <c r="Z63" i="3"/>
  <c r="R63" i="3" s="1"/>
  <c r="AA63" i="3"/>
  <c r="S63" i="3" s="1"/>
  <c r="AA29" i="3"/>
  <c r="S29" i="3" s="1"/>
  <c r="Z29" i="3"/>
  <c r="R29" i="3" s="1"/>
  <c r="AA77" i="3"/>
  <c r="S77" i="3" s="1"/>
  <c r="Z77" i="3"/>
  <c r="R77" i="3" s="1"/>
  <c r="X4" i="5"/>
  <c r="AC4" i="5" s="1"/>
  <c r="S66" i="3"/>
  <c r="Y76" i="3"/>
  <c r="Q76" i="3" s="1"/>
  <c r="Y14" i="3"/>
  <c r="Q14" i="3" s="1"/>
  <c r="X14" i="3"/>
  <c r="P14" i="3" s="1"/>
  <c r="AA22" i="5"/>
  <c r="Q26" i="3"/>
  <c r="Y77" i="3"/>
  <c r="Q77" i="3" s="1"/>
  <c r="H24" i="5"/>
  <c r="M24" i="5" s="1"/>
  <c r="S24" i="5" s="1"/>
  <c r="AA13" i="5"/>
  <c r="X6" i="3"/>
  <c r="P6" i="3" s="1"/>
  <c r="Y18" i="3"/>
  <c r="Q18" i="3" s="1"/>
  <c r="X83" i="3"/>
  <c r="P83" i="3" s="1"/>
  <c r="X55" i="3"/>
  <c r="P55" i="3" s="1"/>
  <c r="X32" i="3"/>
  <c r="P32" i="3" s="1"/>
  <c r="X48" i="3"/>
  <c r="P48" i="3" s="1"/>
  <c r="X44" i="3"/>
  <c r="P44" i="3" s="1"/>
  <c r="X81" i="3"/>
  <c r="P81" i="3" s="1"/>
  <c r="X45" i="3"/>
  <c r="P45" i="3" s="1"/>
  <c r="X99" i="3"/>
  <c r="P99" i="3" s="1"/>
  <c r="Y79" i="3"/>
  <c r="Q79" i="3" s="1"/>
  <c r="X72" i="3"/>
  <c r="P72" i="3" s="1"/>
  <c r="X58" i="3"/>
  <c r="P58" i="3" s="1"/>
  <c r="X82" i="3"/>
  <c r="P82" i="3" s="1"/>
  <c r="X63" i="3"/>
  <c r="P63" i="3" s="1"/>
  <c r="X29" i="3"/>
  <c r="P29" i="3" s="1"/>
  <c r="AC16" i="5"/>
  <c r="AA21" i="5"/>
  <c r="X5" i="5"/>
  <c r="AE19" i="5"/>
  <c r="I14" i="5"/>
  <c r="N14" i="5" s="1"/>
  <c r="T14" i="5" s="1"/>
  <c r="AD14" i="5" s="1"/>
  <c r="H19" i="5"/>
  <c r="M19" i="5" s="1"/>
  <c r="S19" i="5" s="1"/>
  <c r="AC19" i="5" s="1"/>
  <c r="H15" i="5"/>
  <c r="M15" i="5" s="1"/>
  <c r="S15" i="5" s="1"/>
  <c r="X24" i="5"/>
  <c r="K5" i="5"/>
  <c r="P5" i="5" s="1"/>
  <c r="V5" i="5" s="1"/>
  <c r="X26" i="5"/>
  <c r="H20" i="5"/>
  <c r="M20" i="5" s="1"/>
  <c r="S20" i="5" s="1"/>
  <c r="AC20" i="5" s="1"/>
  <c r="I17" i="5"/>
  <c r="N17" i="5" s="1"/>
  <c r="T17" i="5" s="1"/>
  <c r="K14" i="5"/>
  <c r="P14" i="5" s="1"/>
  <c r="V14" i="5" s="1"/>
  <c r="AA19" i="5"/>
  <c r="X27" i="5"/>
  <c r="AA5" i="5"/>
  <c r="H5" i="5"/>
  <c r="M5" i="5" s="1"/>
  <c r="S5" i="5" s="1"/>
  <c r="AA24" i="5"/>
  <c r="AF24" i="5" s="1"/>
  <c r="I20" i="5"/>
  <c r="N20" i="5" s="1"/>
  <c r="T20" i="5" s="1"/>
  <c r="AD20" i="5" s="1"/>
  <c r="Y17" i="5"/>
  <c r="AD22" i="5"/>
  <c r="L505" i="6"/>
  <c r="G56" i="7"/>
  <c r="K22" i="5"/>
  <c r="P22" i="5" s="1"/>
  <c r="V22" i="5" s="1"/>
  <c r="S266" i="6"/>
  <c r="O74" i="6"/>
  <c r="S195" i="6"/>
  <c r="X15" i="5"/>
  <c r="S513" i="6"/>
  <c r="K21" i="5"/>
  <c r="P21" i="5" s="1"/>
  <c r="V21" i="5" s="1"/>
  <c r="H26" i="5"/>
  <c r="M26" i="5" s="1"/>
  <c r="S26" i="5" s="1"/>
  <c r="I24" i="5"/>
  <c r="N24" i="5" s="1"/>
  <c r="T24" i="5" s="1"/>
  <c r="P559" i="6"/>
  <c r="K26" i="5" s="1"/>
  <c r="P26" i="5" s="1"/>
  <c r="V26" i="5" s="1"/>
  <c r="L456" i="6"/>
  <c r="K17" i="5"/>
  <c r="P17" i="5" s="1"/>
  <c r="V17" i="5" s="1"/>
  <c r="AF17" i="5" s="1"/>
  <c r="J10" i="5"/>
  <c r="H17" i="5"/>
  <c r="M17" i="5" s="1"/>
  <c r="S17" i="5" s="1"/>
  <c r="AC17" i="5" s="1"/>
  <c r="AA26" i="5"/>
  <c r="L614" i="6"/>
  <c r="S525" i="6"/>
  <c r="S238" i="6"/>
  <c r="O18" i="6"/>
  <c r="S552" i="6"/>
  <c r="L453" i="6"/>
  <c r="O228" i="6"/>
  <c r="O8" i="6"/>
  <c r="L143" i="6"/>
  <c r="S522" i="6"/>
  <c r="O90" i="6"/>
  <c r="L191" i="6"/>
  <c r="L55" i="6"/>
  <c r="O582" i="6"/>
  <c r="L483" i="6"/>
  <c r="S573" i="6"/>
  <c r="W28" i="5" s="1"/>
  <c r="S514" i="6"/>
  <c r="S484" i="6"/>
  <c r="S193" i="6"/>
  <c r="O307" i="6"/>
  <c r="L329" i="6"/>
  <c r="L575" i="6"/>
  <c r="G28" i="5" s="1"/>
  <c r="L28" i="5" s="1"/>
  <c r="R28" i="5" s="1"/>
  <c r="S455" i="6"/>
  <c r="O295" i="6"/>
  <c r="S75" i="6"/>
  <c r="S232" i="6"/>
  <c r="S304" i="6"/>
  <c r="S197" i="6"/>
  <c r="S471" i="6"/>
  <c r="S569" i="6"/>
  <c r="X25" i="5"/>
  <c r="AC25" i="5" s="1"/>
  <c r="S145" i="6"/>
  <c r="H6" i="5"/>
  <c r="M6" i="5" s="1"/>
  <c r="S6" i="5" s="1"/>
  <c r="AC6" i="5" s="1"/>
  <c r="L14" i="6"/>
  <c r="O101" i="6"/>
  <c r="L366" i="6"/>
  <c r="H13" i="5"/>
  <c r="M13" i="5" s="1"/>
  <c r="S13" i="5" s="1"/>
  <c r="AF16" i="5"/>
  <c r="S438" i="6"/>
  <c r="L610" i="6"/>
  <c r="S22" i="6"/>
  <c r="O118" i="6"/>
  <c r="S19" i="6"/>
  <c r="L386" i="6"/>
  <c r="G17" i="5" s="1"/>
  <c r="L17" i="5" s="1"/>
  <c r="R17" i="5" s="1"/>
  <c r="X13" i="5"/>
  <c r="G59" i="7"/>
  <c r="G61" i="7" s="1"/>
  <c r="G63" i="7" s="1"/>
  <c r="L469" i="6"/>
  <c r="O561" i="6"/>
  <c r="J26" i="5" s="1"/>
  <c r="O26" i="5" s="1"/>
  <c r="U26" i="5" s="1"/>
  <c r="AE26" i="5" s="1"/>
  <c r="I27" i="5"/>
  <c r="N27" i="5" s="1"/>
  <c r="T27" i="5" s="1"/>
  <c r="AD27" i="5" s="1"/>
  <c r="S433" i="6"/>
  <c r="O28" i="6"/>
  <c r="L267" i="6"/>
  <c r="S73" i="6"/>
  <c r="L158" i="6"/>
  <c r="S537" i="6"/>
  <c r="L419" i="6"/>
  <c r="S298" i="6"/>
  <c r="S363" i="6"/>
  <c r="L516" i="6"/>
  <c r="S490" i="6"/>
  <c r="L556" i="6"/>
  <c r="L486" i="6"/>
  <c r="O597" i="6"/>
  <c r="L495" i="6"/>
  <c r="O572" i="6"/>
  <c r="L491" i="6"/>
  <c r="S230" i="6"/>
  <c r="S201" i="6"/>
  <c r="O141" i="6"/>
  <c r="O134" i="6"/>
  <c r="L48" i="6"/>
  <c r="AA4" i="5"/>
  <c r="AF4" i="5" s="1"/>
  <c r="O291" i="6"/>
  <c r="O97" i="6"/>
  <c r="L607" i="6"/>
  <c r="L536" i="6"/>
  <c r="G24" i="5" s="1"/>
  <c r="L24" i="5" s="1"/>
  <c r="R24" i="5" s="1"/>
  <c r="S550" i="6"/>
  <c r="S496" i="6"/>
  <c r="L613" i="6"/>
  <c r="H23" i="5"/>
  <c r="M23" i="5" s="1"/>
  <c r="S23" i="5" s="1"/>
  <c r="L448" i="6"/>
  <c r="S293" i="6"/>
  <c r="S221" i="6"/>
  <c r="O605" i="6"/>
  <c r="J27" i="5" s="1"/>
  <c r="O27" i="5" s="1"/>
  <c r="U27" i="5" s="1"/>
  <c r="S199" i="6"/>
  <c r="O120" i="6"/>
  <c r="O63" i="6"/>
  <c r="S72" i="6"/>
  <c r="L236" i="6"/>
  <c r="L219" i="6"/>
  <c r="O105" i="6"/>
  <c r="L512" i="6"/>
  <c r="O577" i="6"/>
  <c r="S615" i="6"/>
  <c r="S60" i="6"/>
  <c r="O111" i="6"/>
  <c r="O93" i="6"/>
  <c r="L620" i="6"/>
  <c r="S421" i="6"/>
  <c r="S226" i="6"/>
  <c r="L354" i="6"/>
  <c r="L240" i="6"/>
  <c r="O114" i="6"/>
  <c r="L463" i="6"/>
  <c r="O498" i="6"/>
  <c r="L355" i="6"/>
  <c r="L24" i="6"/>
  <c r="L269" i="6"/>
  <c r="S242" i="6"/>
  <c r="S234" i="6"/>
  <c r="S169" i="6"/>
  <c r="O510" i="6"/>
  <c r="S510" i="6"/>
  <c r="L68" i="6"/>
  <c r="S503" i="6"/>
  <c r="AA23" i="5" s="1"/>
  <c r="P503" i="6"/>
  <c r="AB18" i="5"/>
  <c r="AE3" i="5"/>
  <c r="K42" i="3"/>
  <c r="K47" i="3"/>
  <c r="K46" i="3"/>
  <c r="K31" i="3"/>
  <c r="K39" i="3"/>
  <c r="K49" i="3"/>
  <c r="K35" i="3"/>
  <c r="J89" i="3"/>
  <c r="K89" i="3" s="1"/>
  <c r="Y89" i="3" s="1"/>
  <c r="J106" i="3"/>
  <c r="K106" i="3" s="1"/>
  <c r="J86" i="3"/>
  <c r="K86" i="3" s="1"/>
  <c r="Y86" i="3" s="1"/>
  <c r="K87" i="3"/>
  <c r="Y87" i="3" s="1"/>
  <c r="C39" i="9"/>
  <c r="C40" i="9" s="1"/>
  <c r="C41" i="9" s="1"/>
  <c r="C42" i="9" s="1"/>
  <c r="C43" i="9" s="1"/>
  <c r="C44" i="9" s="1"/>
  <c r="C45" i="9" s="1"/>
  <c r="C46" i="9" s="1"/>
  <c r="E46" i="9" s="1"/>
  <c r="S283" i="6"/>
  <c r="L66" i="6"/>
  <c r="K22" i="3"/>
  <c r="Y22" i="3" s="1"/>
  <c r="H14" i="5"/>
  <c r="M14" i="5" s="1"/>
  <c r="S14" i="5" s="1"/>
  <c r="AC14" i="5" s="1"/>
  <c r="S555" i="6"/>
  <c r="L555" i="6"/>
  <c r="S461" i="6"/>
  <c r="L461" i="6"/>
  <c r="S71" i="6"/>
  <c r="L71" i="6"/>
  <c r="S508" i="6"/>
  <c r="L508" i="6"/>
  <c r="L500" i="6"/>
  <c r="S500" i="6"/>
  <c r="S547" i="6"/>
  <c r="L547" i="6"/>
  <c r="L507" i="6"/>
  <c r="S507" i="6"/>
  <c r="S568" i="6"/>
  <c r="L568" i="6"/>
  <c r="S497" i="6"/>
  <c r="L497" i="6"/>
  <c r="O116" i="6"/>
  <c r="O580" i="6"/>
  <c r="S580" i="6"/>
  <c r="S509" i="6"/>
  <c r="L509" i="6"/>
  <c r="L457" i="6"/>
  <c r="S457" i="6"/>
  <c r="AD6" i="5"/>
  <c r="AC22" i="5"/>
  <c r="S601" i="6"/>
  <c r="L601" i="6"/>
  <c r="S603" i="6"/>
  <c r="L603" i="6"/>
  <c r="O595" i="6"/>
  <c r="S595" i="6"/>
  <c r="L492" i="6"/>
  <c r="S492" i="6"/>
  <c r="L557" i="6"/>
  <c r="S557" i="6"/>
  <c r="L506" i="6"/>
  <c r="S506" i="6"/>
  <c r="S488" i="6"/>
  <c r="O488" i="6"/>
  <c r="L459" i="6"/>
  <c r="S459" i="6"/>
  <c r="O389" i="6"/>
  <c r="S389" i="6"/>
  <c r="L345" i="6"/>
  <c r="S345" i="6"/>
  <c r="L220" i="6"/>
  <c r="S220" i="6"/>
  <c r="L212" i="6"/>
  <c r="S212" i="6"/>
  <c r="L204" i="6"/>
  <c r="S204" i="6"/>
  <c r="L196" i="6"/>
  <c r="S196" i="6"/>
  <c r="L188" i="6"/>
  <c r="S188" i="6"/>
  <c r="L180" i="6"/>
  <c r="S180" i="6"/>
  <c r="L172" i="6"/>
  <c r="S172" i="6"/>
  <c r="S148" i="6"/>
  <c r="L148" i="6"/>
  <c r="S144" i="6"/>
  <c r="L144" i="6"/>
  <c r="L159" i="6"/>
  <c r="S159" i="6"/>
  <c r="S151" i="6"/>
  <c r="L151" i="6"/>
  <c r="O138" i="6"/>
  <c r="S138" i="6"/>
  <c r="O117" i="6"/>
  <c r="S117" i="6"/>
  <c r="L249" i="6"/>
  <c r="S249" i="6"/>
  <c r="L200" i="6"/>
  <c r="S200" i="6"/>
  <c r="L153" i="6"/>
  <c r="S153" i="6"/>
  <c r="S38" i="6"/>
  <c r="O38" i="6"/>
  <c r="S9" i="6"/>
  <c r="O9" i="6"/>
  <c r="O119" i="6"/>
  <c r="S119" i="6"/>
  <c r="S103" i="6"/>
  <c r="O103" i="6"/>
  <c r="S98" i="6"/>
  <c r="O98" i="6"/>
  <c r="L26" i="6"/>
  <c r="S26" i="6"/>
  <c r="L16" i="6"/>
  <c r="S16" i="6"/>
  <c r="O578" i="6"/>
  <c r="S578" i="6"/>
  <c r="L596" i="6"/>
  <c r="S596" i="6"/>
  <c r="L475" i="6"/>
  <c r="S475" i="6"/>
  <c r="L553" i="6"/>
  <c r="S553" i="6"/>
  <c r="S454" i="6"/>
  <c r="L454" i="6"/>
  <c r="L429" i="6"/>
  <c r="S429" i="6"/>
  <c r="L425" i="6"/>
  <c r="S425" i="6"/>
  <c r="L420" i="6"/>
  <c r="S420" i="6"/>
  <c r="O393" i="6"/>
  <c r="S393" i="6"/>
  <c r="L334" i="6"/>
  <c r="S334" i="6"/>
  <c r="L308" i="6"/>
  <c r="S308" i="6"/>
  <c r="O303" i="6"/>
  <c r="S303" i="6"/>
  <c r="L591" i="6"/>
  <c r="S591" i="6"/>
  <c r="L253" i="6"/>
  <c r="S253" i="6"/>
  <c r="L245" i="6"/>
  <c r="S245" i="6"/>
  <c r="L237" i="6"/>
  <c r="S237" i="6"/>
  <c r="O225" i="6"/>
  <c r="S225" i="6"/>
  <c r="Z9" i="5" s="1"/>
  <c r="O125" i="6"/>
  <c r="S125" i="6"/>
  <c r="O30" i="6"/>
  <c r="S30" i="6"/>
  <c r="L241" i="6"/>
  <c r="S241" i="6"/>
  <c r="L192" i="6"/>
  <c r="S192" i="6"/>
  <c r="S146" i="6"/>
  <c r="L146" i="6"/>
  <c r="L46" i="6"/>
  <c r="S46" i="6"/>
  <c r="P268" i="6"/>
  <c r="K12" i="5" s="1"/>
  <c r="P12" i="5" s="1"/>
  <c r="V12" i="5" s="1"/>
  <c r="S268" i="6"/>
  <c r="AA12" i="5" s="1"/>
  <c r="L229" i="6"/>
  <c r="S229" i="6"/>
  <c r="O127" i="6"/>
  <c r="S127" i="6"/>
  <c r="S107" i="6"/>
  <c r="O107" i="6"/>
  <c r="S102" i="6"/>
  <c r="O102" i="6"/>
  <c r="S91" i="6"/>
  <c r="O91" i="6"/>
  <c r="S25" i="6"/>
  <c r="L25" i="6"/>
  <c r="S15" i="6"/>
  <c r="L15" i="6"/>
  <c r="I11" i="5"/>
  <c r="N11" i="5" s="1"/>
  <c r="T11" i="5" s="1"/>
  <c r="L621" i="6"/>
  <c r="S621" i="6"/>
  <c r="S590" i="6"/>
  <c r="O590" i="6"/>
  <c r="L563" i="6"/>
  <c r="S563" i="6"/>
  <c r="L449" i="6"/>
  <c r="S449" i="6"/>
  <c r="L442" i="6"/>
  <c r="S442" i="6"/>
  <c r="L437" i="6"/>
  <c r="S437" i="6"/>
  <c r="O367" i="6"/>
  <c r="S367" i="6"/>
  <c r="L353" i="6"/>
  <c r="S353" i="6"/>
  <c r="L339" i="6"/>
  <c r="S339" i="6"/>
  <c r="L324" i="6"/>
  <c r="S324" i="6"/>
  <c r="O588" i="6"/>
  <c r="S588" i="6"/>
  <c r="O108" i="6"/>
  <c r="S108" i="6"/>
  <c r="L284" i="6"/>
  <c r="S284" i="6"/>
  <c r="O142" i="6"/>
  <c r="S142" i="6"/>
  <c r="O113" i="6"/>
  <c r="S113" i="6"/>
  <c r="O81" i="6"/>
  <c r="S81" i="6"/>
  <c r="O272" i="6"/>
  <c r="S272" i="6"/>
  <c r="L216" i="6"/>
  <c r="S216" i="6"/>
  <c r="L184" i="6"/>
  <c r="S184" i="6"/>
  <c r="O84" i="6"/>
  <c r="S84" i="6"/>
  <c r="S45" i="6"/>
  <c r="O45" i="6"/>
  <c r="S3" i="6"/>
  <c r="L3" i="6"/>
  <c r="O115" i="6"/>
  <c r="S115" i="6"/>
  <c r="S106" i="6"/>
  <c r="O106" i="6"/>
  <c r="S95" i="6"/>
  <c r="O95" i="6"/>
  <c r="J50" i="3"/>
  <c r="K50" i="3" s="1"/>
  <c r="P612" i="6"/>
  <c r="K27" i="5" s="1"/>
  <c r="P27" i="5" s="1"/>
  <c r="V27" i="5" s="1"/>
  <c r="S612" i="6"/>
  <c r="AA27" i="5" s="1"/>
  <c r="L583" i="6"/>
  <c r="S583" i="6"/>
  <c r="L542" i="6"/>
  <c r="S542" i="6"/>
  <c r="L464" i="6"/>
  <c r="S464" i="6"/>
  <c r="L383" i="6"/>
  <c r="S383" i="6"/>
  <c r="L379" i="6"/>
  <c r="S379" i="6"/>
  <c r="L375" i="6"/>
  <c r="S375" i="6"/>
  <c r="O371" i="6"/>
  <c r="S371" i="6"/>
  <c r="L265" i="6"/>
  <c r="S265" i="6"/>
  <c r="O133" i="6"/>
  <c r="S133" i="6"/>
  <c r="L233" i="6"/>
  <c r="S233" i="6"/>
  <c r="O129" i="6"/>
  <c r="S129" i="6"/>
  <c r="O297" i="6"/>
  <c r="S297" i="6"/>
  <c r="L208" i="6"/>
  <c r="S208" i="6"/>
  <c r="L176" i="6"/>
  <c r="S176" i="6"/>
  <c r="O110" i="6"/>
  <c r="S110" i="6"/>
  <c r="O292" i="6"/>
  <c r="S292" i="6"/>
  <c r="L280" i="6"/>
  <c r="S280" i="6"/>
  <c r="L260" i="6"/>
  <c r="G10" i="5" s="1"/>
  <c r="S260" i="6"/>
  <c r="L165" i="6"/>
  <c r="S165" i="6"/>
  <c r="O140" i="6"/>
  <c r="S140" i="6"/>
  <c r="S131" i="6"/>
  <c r="L131" i="6"/>
  <c r="O123" i="6"/>
  <c r="S123" i="6"/>
  <c r="S99" i="6"/>
  <c r="O99" i="6"/>
  <c r="S94" i="6"/>
  <c r="O94" i="6"/>
  <c r="B56" i="7"/>
  <c r="AD3" i="5"/>
  <c r="AD18" i="5"/>
  <c r="AC3" i="5"/>
  <c r="K41" i="3"/>
  <c r="D58" i="7"/>
  <c r="D56" i="7" s="1"/>
  <c r="U13" i="5"/>
  <c r="AE13" i="5" s="1"/>
  <c r="E23" i="9"/>
  <c r="AE16" i="5"/>
  <c r="AF18" i="5"/>
  <c r="C24" i="9"/>
  <c r="D24" i="9" s="1"/>
  <c r="F24" i="9" s="1"/>
  <c r="G24" i="9" s="1"/>
  <c r="J36" i="3"/>
  <c r="K36" i="3" s="1"/>
  <c r="T13" i="5"/>
  <c r="AD13" i="5" s="1"/>
  <c r="C18" i="8"/>
  <c r="C18" i="7"/>
  <c r="H15" i="8"/>
  <c r="AD23" i="5"/>
  <c r="C17" i="8"/>
  <c r="C17" i="7"/>
  <c r="K43" i="3"/>
  <c r="AF3" i="5"/>
  <c r="K57" i="3"/>
  <c r="AB3" i="5"/>
  <c r="V13" i="5"/>
  <c r="K30" i="3"/>
  <c r="J33" i="3"/>
  <c r="K33" i="3" s="1"/>
  <c r="G37" i="9"/>
  <c r="J23" i="9"/>
  <c r="H23" i="9"/>
  <c r="K24" i="3"/>
  <c r="X24" i="3" s="1"/>
  <c r="J117" i="3"/>
  <c r="K117" i="3" s="1"/>
  <c r="J67" i="3"/>
  <c r="K67" i="3" s="1"/>
  <c r="K17" i="3"/>
  <c r="Y17" i="3" s="1"/>
  <c r="H59" i="8"/>
  <c r="H61" i="8" s="1"/>
  <c r="H63" i="8" s="1"/>
  <c r="J58" i="8"/>
  <c r="G59" i="9"/>
  <c r="G61" i="9" s="1"/>
  <c r="G63" i="9" s="1"/>
  <c r="I58" i="9"/>
  <c r="J93" i="3"/>
  <c r="K93" i="3" s="1"/>
  <c r="K15" i="3"/>
  <c r="Y15" i="3" s="1"/>
  <c r="J16" i="3"/>
  <c r="K37" i="3"/>
  <c r="J38" i="3"/>
  <c r="K38" i="3" s="1"/>
  <c r="H37" i="8"/>
  <c r="C24" i="7"/>
  <c r="E23" i="7"/>
  <c r="D23" i="7"/>
  <c r="I56" i="7"/>
  <c r="I59" i="7"/>
  <c r="G37" i="8"/>
  <c r="J23" i="8"/>
  <c r="J52" i="3"/>
  <c r="K20" i="3"/>
  <c r="Y20" i="3" s="1"/>
  <c r="J64" i="3"/>
  <c r="K64" i="3" s="1"/>
  <c r="C25" i="8"/>
  <c r="D24" i="8"/>
  <c r="F24" i="8" s="1"/>
  <c r="G24" i="8" s="1"/>
  <c r="C37" i="7"/>
  <c r="J11" i="7"/>
  <c r="C37" i="8"/>
  <c r="J11" i="8"/>
  <c r="F37" i="8"/>
  <c r="I23" i="8"/>
  <c r="I37" i="8" s="1"/>
  <c r="D37" i="9"/>
  <c r="C17" i="9"/>
  <c r="E38" i="9"/>
  <c r="D38" i="9"/>
  <c r="E37" i="9"/>
  <c r="C18" i="9"/>
  <c r="H15" i="9"/>
  <c r="I23" i="9"/>
  <c r="I37" i="9" s="1"/>
  <c r="F37" i="9"/>
  <c r="C15" i="17"/>
  <c r="E15" i="17" s="1"/>
  <c r="C14" i="17"/>
  <c r="E14" i="17" s="1"/>
  <c r="E12" i="17"/>
  <c r="J96" i="3"/>
  <c r="K96" i="3" s="1"/>
  <c r="K97" i="3"/>
  <c r="K19" i="3"/>
  <c r="Y19" i="3" s="1"/>
  <c r="J116" i="3"/>
  <c r="K116" i="3" s="1"/>
  <c r="AE20" i="5"/>
  <c r="AD21" i="5"/>
  <c r="AF6" i="5"/>
  <c r="AF28" i="5"/>
  <c r="AD15" i="5"/>
  <c r="AE21" i="5"/>
  <c r="AF20" i="5"/>
  <c r="X11" i="5"/>
  <c r="Y11" i="5"/>
  <c r="AC12" i="5"/>
  <c r="AC28" i="5"/>
  <c r="AD5" i="5"/>
  <c r="AE24" i="5"/>
  <c r="AD12" i="5"/>
  <c r="AC21" i="5"/>
  <c r="AD28" i="5"/>
  <c r="H11" i="5"/>
  <c r="M11" i="5" s="1"/>
  <c r="S11" i="5" s="1"/>
  <c r="AE22" i="5"/>
  <c r="AD16" i="5"/>
  <c r="AD26" i="5"/>
  <c r="K11" i="5"/>
  <c r="P11" i="5" s="1"/>
  <c r="V11" i="5" s="1"/>
  <c r="N34" i="5"/>
  <c r="J119" i="3" l="1"/>
  <c r="K62" i="3"/>
  <c r="I62" i="3" s="1"/>
  <c r="Z61" i="3"/>
  <c r="R61" i="3" s="1"/>
  <c r="X61" i="3"/>
  <c r="P61" i="3" s="1"/>
  <c r="AA61" i="3"/>
  <c r="S61" i="3" s="1"/>
  <c r="AF21" i="5"/>
  <c r="K23" i="5"/>
  <c r="P23" i="5" s="1"/>
  <c r="V23" i="5" s="1"/>
  <c r="AF23" i="5" s="1"/>
  <c r="AF19" i="5"/>
  <c r="Z11" i="5"/>
  <c r="AD24" i="5"/>
  <c r="J9" i="5"/>
  <c r="J11" i="5" s="1"/>
  <c r="O11" i="5" s="1"/>
  <c r="U11" i="5" s="1"/>
  <c r="AC27" i="5"/>
  <c r="W13" i="5"/>
  <c r="AC26" i="5"/>
  <c r="AF22" i="5"/>
  <c r="AC23" i="5"/>
  <c r="AF13" i="5"/>
  <c r="AC24" i="5"/>
  <c r="AF14" i="5"/>
  <c r="AD17" i="5"/>
  <c r="Z117" i="3"/>
  <c r="R117" i="3" s="1"/>
  <c r="AA117" i="3"/>
  <c r="S117" i="3" s="1"/>
  <c r="AA49" i="3"/>
  <c r="S49" i="3" s="1"/>
  <c r="Z49" i="3"/>
  <c r="R49" i="3" s="1"/>
  <c r="AA47" i="3"/>
  <c r="S47" i="3" s="1"/>
  <c r="Z47" i="3"/>
  <c r="R47" i="3" s="1"/>
  <c r="AA53" i="3"/>
  <c r="S53" i="3" s="1"/>
  <c r="Z53" i="3"/>
  <c r="R53" i="3" s="1"/>
  <c r="Z67" i="3"/>
  <c r="R67" i="3" s="1"/>
  <c r="AA67" i="3"/>
  <c r="S67" i="3" s="1"/>
  <c r="Z43" i="3"/>
  <c r="R43" i="3" s="1"/>
  <c r="AA43" i="3"/>
  <c r="S43" i="3" s="1"/>
  <c r="Z36" i="3"/>
  <c r="R36" i="3" s="1"/>
  <c r="AA36" i="3"/>
  <c r="S36" i="3" s="1"/>
  <c r="AA38" i="3"/>
  <c r="S38" i="3" s="1"/>
  <c r="Z38" i="3"/>
  <c r="R38" i="3" s="1"/>
  <c r="AA93" i="3"/>
  <c r="S93" i="3" s="1"/>
  <c r="Z93" i="3"/>
  <c r="R93" i="3" s="1"/>
  <c r="Z57" i="3"/>
  <c r="R57" i="3" s="1"/>
  <c r="AA57" i="3"/>
  <c r="S57" i="3" s="1"/>
  <c r="AA106" i="3"/>
  <c r="S106" i="3" s="1"/>
  <c r="Z106" i="3"/>
  <c r="R106" i="3" s="1"/>
  <c r="AA39" i="3"/>
  <c r="S39" i="3" s="1"/>
  <c r="Z39" i="3"/>
  <c r="R39" i="3" s="1"/>
  <c r="Z42" i="3"/>
  <c r="R42" i="3" s="1"/>
  <c r="AA42" i="3"/>
  <c r="S42" i="3" s="1"/>
  <c r="AA41" i="3"/>
  <c r="S41" i="3" s="1"/>
  <c r="Z41" i="3"/>
  <c r="R41" i="3" s="1"/>
  <c r="AA35" i="3"/>
  <c r="S35" i="3" s="1"/>
  <c r="Z35" i="3"/>
  <c r="R35" i="3" s="1"/>
  <c r="Z46" i="3"/>
  <c r="R46" i="3" s="1"/>
  <c r="AA46" i="3"/>
  <c r="S46" i="3" s="1"/>
  <c r="Z97" i="3"/>
  <c r="R97" i="3" s="1"/>
  <c r="AA97" i="3"/>
  <c r="S97" i="3" s="1"/>
  <c r="Z96" i="3"/>
  <c r="R96" i="3" s="1"/>
  <c r="AA96" i="3"/>
  <c r="S96" i="3" s="1"/>
  <c r="Z33" i="3"/>
  <c r="R33" i="3" s="1"/>
  <c r="AA33" i="3"/>
  <c r="S33" i="3" s="1"/>
  <c r="Z116" i="3"/>
  <c r="R116" i="3" s="1"/>
  <c r="AA116" i="3"/>
  <c r="S116" i="3" s="1"/>
  <c r="Z64" i="3"/>
  <c r="R64" i="3" s="1"/>
  <c r="AA64" i="3"/>
  <c r="S64" i="3" s="1"/>
  <c r="Z37" i="3"/>
  <c r="R37" i="3" s="1"/>
  <c r="AA37" i="3"/>
  <c r="S37" i="3" s="1"/>
  <c r="AA30" i="3"/>
  <c r="S30" i="3" s="1"/>
  <c r="Z30" i="3"/>
  <c r="R30" i="3" s="1"/>
  <c r="Z50" i="3"/>
  <c r="R50" i="3" s="1"/>
  <c r="AA50" i="3"/>
  <c r="S50" i="3" s="1"/>
  <c r="Z31" i="3"/>
  <c r="R31" i="3" s="1"/>
  <c r="AA31" i="3"/>
  <c r="S31" i="3" s="1"/>
  <c r="X64" i="3"/>
  <c r="P64" i="3" s="1"/>
  <c r="X38" i="3"/>
  <c r="P38" i="3" s="1"/>
  <c r="X49" i="3"/>
  <c r="P49" i="3" s="1"/>
  <c r="X37" i="3"/>
  <c r="P37" i="3" s="1"/>
  <c r="X30" i="3"/>
  <c r="P30" i="3" s="1"/>
  <c r="X57" i="3"/>
  <c r="P57" i="3" s="1"/>
  <c r="X36" i="3"/>
  <c r="P36" i="3" s="1"/>
  <c r="X106" i="3"/>
  <c r="P106" i="3" s="1"/>
  <c r="X39" i="3"/>
  <c r="P39" i="3" s="1"/>
  <c r="X47" i="3"/>
  <c r="P47" i="3" s="1"/>
  <c r="X116" i="3"/>
  <c r="P116" i="3" s="1"/>
  <c r="X67" i="3"/>
  <c r="P67" i="3" s="1"/>
  <c r="X31" i="3"/>
  <c r="P31" i="3" s="1"/>
  <c r="X93" i="3"/>
  <c r="X33" i="3"/>
  <c r="P33" i="3" s="1"/>
  <c r="X46" i="3"/>
  <c r="P46" i="3" s="1"/>
  <c r="X97" i="3"/>
  <c r="P97" i="3" s="1"/>
  <c r="X41" i="3"/>
  <c r="P41" i="3" s="1"/>
  <c r="X50" i="3"/>
  <c r="P50" i="3" s="1"/>
  <c r="X96" i="3"/>
  <c r="P96" i="3" s="1"/>
  <c r="X117" i="3"/>
  <c r="P117" i="3" s="1"/>
  <c r="X43" i="3"/>
  <c r="P43" i="3" s="1"/>
  <c r="X35" i="3"/>
  <c r="P35" i="3" s="1"/>
  <c r="X42" i="3"/>
  <c r="P42" i="3" s="1"/>
  <c r="X53" i="3"/>
  <c r="P53" i="3" s="1"/>
  <c r="AC5" i="5"/>
  <c r="AF5" i="5"/>
  <c r="AC15" i="5"/>
  <c r="W10" i="5"/>
  <c r="AF26" i="5"/>
  <c r="D46" i="9"/>
  <c r="AB28" i="5"/>
  <c r="G22" i="5"/>
  <c r="L22" i="5" s="1"/>
  <c r="R22" i="5" s="1"/>
  <c r="AC13" i="5"/>
  <c r="E41" i="9"/>
  <c r="D40" i="9"/>
  <c r="W22" i="5"/>
  <c r="K52" i="3"/>
  <c r="W24" i="5"/>
  <c r="AB24" i="5" s="1"/>
  <c r="AE27" i="5"/>
  <c r="G13" i="5"/>
  <c r="L13" i="5" s="1"/>
  <c r="R13" i="5" s="1"/>
  <c r="E45" i="9"/>
  <c r="AB17" i="5"/>
  <c r="D39" i="9"/>
  <c r="D45" i="9"/>
  <c r="E44" i="9"/>
  <c r="E39" i="9"/>
  <c r="E40" i="9"/>
  <c r="G12" i="5"/>
  <c r="L12" i="5" s="1"/>
  <c r="R12" i="5" s="1"/>
  <c r="W12" i="5"/>
  <c r="J17" i="5"/>
  <c r="O17" i="5" s="1"/>
  <c r="U17" i="5" s="1"/>
  <c r="Z23" i="5"/>
  <c r="D41" i="9"/>
  <c r="D44" i="9"/>
  <c r="D43" i="9"/>
  <c r="E43" i="9"/>
  <c r="D42" i="9"/>
  <c r="E42" i="9"/>
  <c r="J91" i="3"/>
  <c r="K91" i="3" s="1"/>
  <c r="W5" i="5"/>
  <c r="G6" i="5"/>
  <c r="L6" i="5" s="1"/>
  <c r="R6" i="5" s="1"/>
  <c r="Z12" i="5"/>
  <c r="W14" i="5"/>
  <c r="W20" i="5"/>
  <c r="Z28" i="5"/>
  <c r="J28" i="5"/>
  <c r="O28" i="5" s="1"/>
  <c r="U28" i="5" s="1"/>
  <c r="J23" i="5"/>
  <c r="O23" i="5" s="1"/>
  <c r="U23" i="5" s="1"/>
  <c r="G5" i="5"/>
  <c r="L5" i="5" s="1"/>
  <c r="R5" i="5" s="1"/>
  <c r="J107" i="3"/>
  <c r="K107" i="3" s="1"/>
  <c r="E23" i="17"/>
  <c r="J88" i="3"/>
  <c r="K88" i="3" s="1"/>
  <c r="Y88" i="3" s="1"/>
  <c r="AF27" i="5"/>
  <c r="W26" i="5"/>
  <c r="Z6" i="5"/>
  <c r="W15" i="5"/>
  <c r="W4" i="5"/>
  <c r="G7" i="5"/>
  <c r="W27" i="5"/>
  <c r="AF12" i="5"/>
  <c r="J5" i="5"/>
  <c r="O5" i="5" s="1"/>
  <c r="U5" i="5" s="1"/>
  <c r="G19" i="5"/>
  <c r="L19" i="5" s="1"/>
  <c r="R19" i="5" s="1"/>
  <c r="Z15" i="5"/>
  <c r="Z14" i="5"/>
  <c r="W9" i="5"/>
  <c r="G21" i="5"/>
  <c r="L21" i="5" s="1"/>
  <c r="R21" i="5" s="1"/>
  <c r="J4" i="5"/>
  <c r="O4" i="5" s="1"/>
  <c r="U4" i="5" s="1"/>
  <c r="G25" i="5"/>
  <c r="L25" i="5" s="1"/>
  <c r="R25" i="5" s="1"/>
  <c r="W8" i="5"/>
  <c r="W23" i="5"/>
  <c r="G15" i="5"/>
  <c r="L15" i="5" s="1"/>
  <c r="R15" i="5" s="1"/>
  <c r="W16" i="5"/>
  <c r="J12" i="5"/>
  <c r="O12" i="5" s="1"/>
  <c r="U12" i="5" s="1"/>
  <c r="J15" i="5"/>
  <c r="O15" i="5" s="1"/>
  <c r="U15" i="5" s="1"/>
  <c r="G14" i="5"/>
  <c r="L14" i="5" s="1"/>
  <c r="R14" i="5" s="1"/>
  <c r="J14" i="5"/>
  <c r="O14" i="5" s="1"/>
  <c r="U14" i="5" s="1"/>
  <c r="G20" i="5"/>
  <c r="L20" i="5" s="1"/>
  <c r="R20" i="5" s="1"/>
  <c r="G9" i="5"/>
  <c r="W21" i="5"/>
  <c r="Z4" i="5"/>
  <c r="W25" i="5"/>
  <c r="G8" i="5"/>
  <c r="G23" i="5"/>
  <c r="L23" i="5" s="1"/>
  <c r="R23" i="5" s="1"/>
  <c r="W6" i="5"/>
  <c r="J6" i="5"/>
  <c r="O6" i="5" s="1"/>
  <c r="U6" i="5" s="1"/>
  <c r="G16" i="5"/>
  <c r="L16" i="5" s="1"/>
  <c r="R16" i="5" s="1"/>
  <c r="G26" i="5"/>
  <c r="L26" i="5" s="1"/>
  <c r="R26" i="5" s="1"/>
  <c r="G4" i="5"/>
  <c r="L4" i="5" s="1"/>
  <c r="R4" i="5" s="1"/>
  <c r="Z5" i="5"/>
  <c r="W19" i="5"/>
  <c r="W7" i="5"/>
  <c r="Z17" i="5"/>
  <c r="G27" i="5"/>
  <c r="L27" i="5" s="1"/>
  <c r="R27" i="5" s="1"/>
  <c r="AD11" i="5"/>
  <c r="E24" i="9"/>
  <c r="D59" i="7"/>
  <c r="D61" i="7" s="1"/>
  <c r="D64" i="7" s="1"/>
  <c r="S29" i="5"/>
  <c r="S30" i="5" s="1"/>
  <c r="S34" i="5" s="1"/>
  <c r="J10" i="3" s="1"/>
  <c r="C25" i="9"/>
  <c r="D25" i="9" s="1"/>
  <c r="F25" i="9" s="1"/>
  <c r="T29" i="5"/>
  <c r="T30" i="5" s="1"/>
  <c r="T34" i="5" s="1"/>
  <c r="J11" i="3" s="1"/>
  <c r="J56" i="8"/>
  <c r="J59" i="8"/>
  <c r="C38" i="7"/>
  <c r="E37" i="7"/>
  <c r="D37" i="7"/>
  <c r="F23" i="7"/>
  <c r="I23" i="7"/>
  <c r="I37" i="7" s="1"/>
  <c r="G38" i="9"/>
  <c r="J24" i="9"/>
  <c r="F38" i="8"/>
  <c r="I24" i="8"/>
  <c r="I38" i="8" s="1"/>
  <c r="J24" i="8"/>
  <c r="G38" i="8"/>
  <c r="K16" i="3"/>
  <c r="Y16" i="3" s="1"/>
  <c r="J92" i="3"/>
  <c r="K92" i="3" s="1"/>
  <c r="H24" i="9"/>
  <c r="C38" i="8"/>
  <c r="E37" i="8"/>
  <c r="D37" i="8"/>
  <c r="D25" i="8"/>
  <c r="F25" i="8" s="1"/>
  <c r="G25" i="8" s="1"/>
  <c r="C26" i="8"/>
  <c r="E25" i="8"/>
  <c r="J37" i="8"/>
  <c r="L23" i="8"/>
  <c r="D24" i="7"/>
  <c r="E24" i="7"/>
  <c r="C25" i="7"/>
  <c r="F38" i="9"/>
  <c r="I24" i="9"/>
  <c r="I38" i="9" s="1"/>
  <c r="H37" i="9"/>
  <c r="H24" i="8"/>
  <c r="I59" i="9"/>
  <c r="I56" i="9"/>
  <c r="J37" i="9"/>
  <c r="L23" i="9"/>
  <c r="L37" i="9" s="1"/>
  <c r="I61" i="7"/>
  <c r="I63" i="7" s="1"/>
  <c r="I62" i="7"/>
  <c r="G62" i="7" s="1"/>
  <c r="I64" i="7" s="1"/>
  <c r="G64" i="7" s="1"/>
  <c r="AC11" i="5"/>
  <c r="AF11" i="5"/>
  <c r="X62" i="3" l="1"/>
  <c r="P62" i="3" s="1"/>
  <c r="Z62" i="3"/>
  <c r="R62" i="3" s="1"/>
  <c r="AA62" i="3"/>
  <c r="S62" i="3" s="1"/>
  <c r="AB5" i="5"/>
  <c r="V29" i="5"/>
  <c r="V30" i="5" s="1"/>
  <c r="V34" i="5" s="1"/>
  <c r="J13" i="3" s="1"/>
  <c r="AE17" i="5"/>
  <c r="AE11" i="5"/>
  <c r="AB13" i="5"/>
  <c r="AD29" i="5"/>
  <c r="AD30" i="5" s="1"/>
  <c r="AD31" i="5" s="1"/>
  <c r="I11" i="3" s="1"/>
  <c r="AA92" i="3"/>
  <c r="S92" i="3" s="1"/>
  <c r="Z92" i="3"/>
  <c r="R92" i="3" s="1"/>
  <c r="Z107" i="3"/>
  <c r="R107" i="3" s="1"/>
  <c r="AA107" i="3"/>
  <c r="S107" i="3" s="1"/>
  <c r="Z52" i="3"/>
  <c r="R52" i="3" s="1"/>
  <c r="AA52" i="3"/>
  <c r="S52" i="3" s="1"/>
  <c r="Z91" i="3"/>
  <c r="R91" i="3" s="1"/>
  <c r="AA91" i="3"/>
  <c r="S91" i="3" s="1"/>
  <c r="E24" i="17"/>
  <c r="E25" i="17" s="1"/>
  <c r="E26" i="17" s="1"/>
  <c r="E27" i="17" s="1"/>
  <c r="E28" i="17" s="1"/>
  <c r="E45" i="1" s="1"/>
  <c r="F45" i="1" s="1"/>
  <c r="X52" i="3"/>
  <c r="P52" i="3" s="1"/>
  <c r="X91" i="3"/>
  <c r="X92" i="3"/>
  <c r="X107" i="3"/>
  <c r="P107" i="3" s="1"/>
  <c r="K119" i="3"/>
  <c r="AB4" i="5"/>
  <c r="AB22" i="5"/>
  <c r="AC29" i="5"/>
  <c r="AC30" i="5" s="1"/>
  <c r="AC31" i="5" s="1"/>
  <c r="I10" i="3" s="1"/>
  <c r="AF29" i="5"/>
  <c r="AF30" i="5" s="1"/>
  <c r="AE6" i="5"/>
  <c r="AB20" i="5"/>
  <c r="AE23" i="5"/>
  <c r="AB6" i="5"/>
  <c r="AE28" i="5"/>
  <c r="AB12" i="5"/>
  <c r="AB14" i="5"/>
  <c r="AE12" i="5"/>
  <c r="AB27" i="5"/>
  <c r="G11" i="5"/>
  <c r="L11" i="5" s="1"/>
  <c r="R11" i="5" s="1"/>
  <c r="R29" i="5" s="1"/>
  <c r="R30" i="5" s="1"/>
  <c r="Q34" i="5" s="1"/>
  <c r="J90" i="3"/>
  <c r="K90" i="3" s="1"/>
  <c r="AB15" i="5"/>
  <c r="AB26" i="5"/>
  <c r="AE5" i="5"/>
  <c r="C26" i="9"/>
  <c r="D26" i="9" s="1"/>
  <c r="F26" i="9" s="1"/>
  <c r="W11" i="5"/>
  <c r="AB25" i="5"/>
  <c r="AB23" i="5"/>
  <c r="AE4" i="5"/>
  <c r="U29" i="5"/>
  <c r="U30" i="5" s="1"/>
  <c r="U34" i="5" s="1"/>
  <c r="J12" i="3" s="1"/>
  <c r="J71" i="3" s="1"/>
  <c r="K71" i="3" s="1"/>
  <c r="AB16" i="5"/>
  <c r="AB21" i="5"/>
  <c r="AE14" i="5"/>
  <c r="AB19" i="5"/>
  <c r="AE15" i="5"/>
  <c r="E25" i="9"/>
  <c r="D62" i="7"/>
  <c r="B62" i="7" s="1"/>
  <c r="D63" i="7" s="1"/>
  <c r="B63" i="7" s="1"/>
  <c r="C26" i="7"/>
  <c r="E25" i="7"/>
  <c r="D25" i="7"/>
  <c r="C27" i="8"/>
  <c r="D26" i="8"/>
  <c r="F26" i="8" s="1"/>
  <c r="G26" i="8" s="1"/>
  <c r="E26" i="8"/>
  <c r="F39" i="8"/>
  <c r="I25" i="8"/>
  <c r="I39" i="8" s="1"/>
  <c r="H38" i="9"/>
  <c r="L24" i="9"/>
  <c r="L38" i="9" s="1"/>
  <c r="J38" i="9"/>
  <c r="J61" i="8"/>
  <c r="J63" i="8" s="1"/>
  <c r="J62" i="8"/>
  <c r="H62" i="8" s="1"/>
  <c r="I25" i="9"/>
  <c r="I39" i="9" s="1"/>
  <c r="F39" i="9"/>
  <c r="G25" i="9"/>
  <c r="I62" i="9"/>
  <c r="G62" i="9" s="1"/>
  <c r="I61" i="9"/>
  <c r="I63" i="9" s="1"/>
  <c r="I24" i="7"/>
  <c r="I38" i="7" s="1"/>
  <c r="F24" i="7"/>
  <c r="G39" i="8"/>
  <c r="J25" i="8"/>
  <c r="F37" i="7"/>
  <c r="G23" i="7"/>
  <c r="C39" i="8"/>
  <c r="D38" i="8"/>
  <c r="E38" i="8"/>
  <c r="C39" i="7"/>
  <c r="E38" i="7"/>
  <c r="D38" i="7"/>
  <c r="H38" i="8"/>
  <c r="M23" i="9"/>
  <c r="L37" i="8"/>
  <c r="M23" i="8"/>
  <c r="J38" i="8"/>
  <c r="L24" i="8"/>
  <c r="L38" i="8" s="1"/>
  <c r="H25" i="8"/>
  <c r="H39" i="8" s="1"/>
  <c r="AF31" i="5" l="1"/>
  <c r="K10" i="3"/>
  <c r="Y10" i="3" s="1"/>
  <c r="K11" i="3"/>
  <c r="Y11" i="3" s="1"/>
  <c r="Z90" i="3"/>
  <c r="R90" i="3" s="1"/>
  <c r="AA90" i="3"/>
  <c r="S90" i="3" s="1"/>
  <c r="Z71" i="3"/>
  <c r="R71" i="3" s="1"/>
  <c r="AA71" i="3"/>
  <c r="S71" i="3" s="1"/>
  <c r="X90" i="3"/>
  <c r="X71" i="3"/>
  <c r="P71" i="3" s="1"/>
  <c r="AB11" i="5"/>
  <c r="AB29" i="5" s="1"/>
  <c r="AB30" i="5" s="1"/>
  <c r="AB31" i="5" s="1"/>
  <c r="I9" i="3" s="1"/>
  <c r="C27" i="9"/>
  <c r="C28" i="9" s="1"/>
  <c r="E26" i="9"/>
  <c r="AE29" i="5"/>
  <c r="AE30" i="5" s="1"/>
  <c r="AE31" i="5" s="1"/>
  <c r="I12" i="3" s="1"/>
  <c r="M24" i="9"/>
  <c r="M38" i="9" s="1"/>
  <c r="M24" i="8"/>
  <c r="M38" i="8" s="1"/>
  <c r="J26" i="8"/>
  <c r="G40" i="8"/>
  <c r="G39" i="9"/>
  <c r="J25" i="9"/>
  <c r="H25" i="9"/>
  <c r="I25" i="7"/>
  <c r="I39" i="7" s="1"/>
  <c r="F25" i="7"/>
  <c r="G37" i="7"/>
  <c r="J23" i="7"/>
  <c r="H23" i="7"/>
  <c r="F40" i="9"/>
  <c r="I26" i="9"/>
  <c r="I40" i="9" s="1"/>
  <c r="C40" i="7"/>
  <c r="E39" i="7"/>
  <c r="D39" i="7"/>
  <c r="D27" i="8"/>
  <c r="F27" i="8" s="1"/>
  <c r="G27" i="8" s="1"/>
  <c r="H27" i="8" s="1"/>
  <c r="H41" i="8" s="1"/>
  <c r="C28" i="8"/>
  <c r="E27" i="8"/>
  <c r="H26" i="8"/>
  <c r="H40" i="8" s="1"/>
  <c r="F38" i="7"/>
  <c r="G24" i="7"/>
  <c r="M37" i="8"/>
  <c r="M37" i="9"/>
  <c r="G26" i="9"/>
  <c r="D26" i="7"/>
  <c r="E26" i="7"/>
  <c r="C27" i="7"/>
  <c r="J39" i="8"/>
  <c r="L25" i="8"/>
  <c r="L39" i="8" s="1"/>
  <c r="C40" i="8"/>
  <c r="D39" i="8"/>
  <c r="E39" i="8"/>
  <c r="I26" i="8"/>
  <c r="I40" i="8" s="1"/>
  <c r="F40" i="8"/>
  <c r="I13" i="3" l="1"/>
  <c r="K13" i="3" s="1"/>
  <c r="X13" i="3" s="1"/>
  <c r="K12" i="3"/>
  <c r="D27" i="9"/>
  <c r="F27" i="9" s="1"/>
  <c r="I27" i="9" s="1"/>
  <c r="I41" i="9" s="1"/>
  <c r="E27" i="9"/>
  <c r="C41" i="7"/>
  <c r="E40" i="7"/>
  <c r="D40" i="7"/>
  <c r="G41" i="8"/>
  <c r="G42" i="8"/>
  <c r="J27" i="8"/>
  <c r="J39" i="9"/>
  <c r="L25" i="9"/>
  <c r="L39" i="9" s="1"/>
  <c r="C41" i="8"/>
  <c r="E40" i="8"/>
  <c r="D40" i="8"/>
  <c r="C29" i="8"/>
  <c r="D28" i="8"/>
  <c r="F28" i="8" s="1"/>
  <c r="E28" i="8"/>
  <c r="C28" i="7"/>
  <c r="E27" i="7"/>
  <c r="D27" i="7"/>
  <c r="F41" i="8"/>
  <c r="I27" i="8"/>
  <c r="I41" i="8" s="1"/>
  <c r="H37" i="7"/>
  <c r="H39" i="9"/>
  <c r="D28" i="9"/>
  <c r="F28" i="9" s="1"/>
  <c r="C29" i="9"/>
  <c r="E28" i="9"/>
  <c r="J37" i="7"/>
  <c r="L23" i="7"/>
  <c r="L37" i="7" s="1"/>
  <c r="G38" i="7"/>
  <c r="J24" i="7"/>
  <c r="H24" i="7"/>
  <c r="M25" i="8"/>
  <c r="I26" i="7"/>
  <c r="I40" i="7" s="1"/>
  <c r="F26" i="7"/>
  <c r="F39" i="7"/>
  <c r="G25" i="7"/>
  <c r="J40" i="8"/>
  <c r="L26" i="8"/>
  <c r="L40" i="8" s="1"/>
  <c r="G40" i="9"/>
  <c r="J26" i="9"/>
  <c r="H26" i="9"/>
  <c r="H40" i="9" s="1"/>
  <c r="G27" i="9" l="1"/>
  <c r="G42" i="9" s="1"/>
  <c r="F41" i="9"/>
  <c r="X12" i="3"/>
  <c r="Y12" i="3"/>
  <c r="M26" i="8"/>
  <c r="M40" i="8" s="1"/>
  <c r="I28" i="9"/>
  <c r="I42" i="9" s="1"/>
  <c r="F42" i="9"/>
  <c r="E29" i="8"/>
  <c r="D29" i="8"/>
  <c r="F29" i="8" s="1"/>
  <c r="C30" i="8"/>
  <c r="G39" i="7"/>
  <c r="J25" i="7"/>
  <c r="H25" i="7"/>
  <c r="M25" i="9"/>
  <c r="F40" i="7"/>
  <c r="G26" i="7"/>
  <c r="M23" i="7"/>
  <c r="D28" i="7"/>
  <c r="E28" i="7"/>
  <c r="C29" i="7"/>
  <c r="H27" i="9"/>
  <c r="L24" i="7"/>
  <c r="L38" i="7" s="1"/>
  <c r="J38" i="7"/>
  <c r="I27" i="7"/>
  <c r="I41" i="7" s="1"/>
  <c r="F27" i="7"/>
  <c r="L26" i="9"/>
  <c r="L40" i="9" s="1"/>
  <c r="J40" i="9"/>
  <c r="C42" i="8"/>
  <c r="E41" i="8"/>
  <c r="D41" i="8"/>
  <c r="G28" i="9"/>
  <c r="M39" i="8"/>
  <c r="C30" i="9"/>
  <c r="E29" i="9"/>
  <c r="D29" i="9"/>
  <c r="F29" i="9" s="1"/>
  <c r="G29" i="9" s="1"/>
  <c r="H29" i="9" s="1"/>
  <c r="H43" i="9" s="1"/>
  <c r="I28" i="8"/>
  <c r="I42" i="8" s="1"/>
  <c r="F42" i="8"/>
  <c r="C42" i="7"/>
  <c r="E41" i="7"/>
  <c r="D41" i="7"/>
  <c r="H38" i="7"/>
  <c r="G28" i="8"/>
  <c r="L27" i="8"/>
  <c r="J41" i="8"/>
  <c r="G41" i="9" l="1"/>
  <c r="J27" i="9"/>
  <c r="J41" i="9" s="1"/>
  <c r="M24" i="7"/>
  <c r="M38" i="7" s="1"/>
  <c r="M26" i="9"/>
  <c r="M40" i="9" s="1"/>
  <c r="G43" i="9"/>
  <c r="J29" i="9"/>
  <c r="H41" i="9"/>
  <c r="H39" i="7"/>
  <c r="D30" i="9"/>
  <c r="F30" i="9" s="1"/>
  <c r="G30" i="9" s="1"/>
  <c r="H30" i="9" s="1"/>
  <c r="H44" i="9" s="1"/>
  <c r="C31" i="9"/>
  <c r="E30" i="9"/>
  <c r="C43" i="8"/>
  <c r="E42" i="8"/>
  <c r="D42" i="8"/>
  <c r="I28" i="7"/>
  <c r="I42" i="7" s="1"/>
  <c r="F28" i="7"/>
  <c r="J39" i="7"/>
  <c r="L25" i="7"/>
  <c r="L39" i="7" s="1"/>
  <c r="M37" i="7"/>
  <c r="C43" i="7"/>
  <c r="D42" i="7"/>
  <c r="E42" i="7"/>
  <c r="G40" i="7"/>
  <c r="J26" i="7"/>
  <c r="H26" i="7"/>
  <c r="H40" i="7" s="1"/>
  <c r="F43" i="8"/>
  <c r="I29" i="8"/>
  <c r="I43" i="8" s="1"/>
  <c r="F41" i="7"/>
  <c r="G27" i="7"/>
  <c r="L41" i="8"/>
  <c r="M27" i="8"/>
  <c r="E29" i="7"/>
  <c r="C30" i="7"/>
  <c r="D29" i="7"/>
  <c r="G29" i="8"/>
  <c r="J28" i="8"/>
  <c r="H28" i="8"/>
  <c r="F43" i="9"/>
  <c r="I29" i="9"/>
  <c r="I43" i="9" s="1"/>
  <c r="J28" i="9"/>
  <c r="H28" i="9"/>
  <c r="H42" i="9" s="1"/>
  <c r="M39" i="9"/>
  <c r="C31" i="8"/>
  <c r="E30" i="8"/>
  <c r="D30" i="8"/>
  <c r="F30" i="8" s="1"/>
  <c r="G30" i="8" s="1"/>
  <c r="H30" i="8" s="1"/>
  <c r="H44" i="8" s="1"/>
  <c r="L27" i="9" l="1"/>
  <c r="L41" i="9" s="1"/>
  <c r="J40" i="7"/>
  <c r="L26" i="7"/>
  <c r="L40" i="7" s="1"/>
  <c r="M41" i="8"/>
  <c r="J29" i="8"/>
  <c r="G43" i="8"/>
  <c r="H29" i="8"/>
  <c r="H43" i="8" s="1"/>
  <c r="G41" i="7"/>
  <c r="G42" i="7"/>
  <c r="J27" i="7"/>
  <c r="H27" i="7"/>
  <c r="M27" i="9"/>
  <c r="H42" i="8"/>
  <c r="I30" i="8"/>
  <c r="I44" i="8" s="1"/>
  <c r="F44" i="8"/>
  <c r="I29" i="7"/>
  <c r="I43" i="7" s="1"/>
  <c r="F29" i="7"/>
  <c r="J30" i="9"/>
  <c r="G44" i="9"/>
  <c r="L28" i="9"/>
  <c r="L42" i="9" s="1"/>
  <c r="J42" i="9"/>
  <c r="C31" i="7"/>
  <c r="E30" i="7"/>
  <c r="D30" i="7"/>
  <c r="C32" i="9"/>
  <c r="E31" i="9"/>
  <c r="D31" i="9"/>
  <c r="F31" i="9" s="1"/>
  <c r="G31" i="9" s="1"/>
  <c r="H31" i="9" s="1"/>
  <c r="H45" i="9" s="1"/>
  <c r="J42" i="8"/>
  <c r="L28" i="8"/>
  <c r="L42" i="8" s="1"/>
  <c r="C44" i="8"/>
  <c r="E43" i="8"/>
  <c r="D43" i="8"/>
  <c r="L29" i="9"/>
  <c r="J43" i="9"/>
  <c r="J30" i="8"/>
  <c r="G44" i="8"/>
  <c r="C44" i="7"/>
  <c r="E43" i="7"/>
  <c r="D43" i="7"/>
  <c r="F42" i="7"/>
  <c r="G28" i="7"/>
  <c r="E31" i="8"/>
  <c r="D31" i="8"/>
  <c r="F31" i="8" s="1"/>
  <c r="G31" i="8" s="1"/>
  <c r="H31" i="8" s="1"/>
  <c r="H45" i="8" s="1"/>
  <c r="C32" i="8"/>
  <c r="M25" i="7"/>
  <c r="I30" i="9"/>
  <c r="I44" i="9" s="1"/>
  <c r="F44" i="9"/>
  <c r="N122" i="3" l="1"/>
  <c r="O122" i="3"/>
  <c r="L122" i="3"/>
  <c r="F43" i="7"/>
  <c r="G29" i="7"/>
  <c r="L43" i="9"/>
  <c r="M29" i="9"/>
  <c r="M43" i="9" s="1"/>
  <c r="M26" i="7"/>
  <c r="M40" i="7" s="1"/>
  <c r="M28" i="9"/>
  <c r="M42" i="9" s="1"/>
  <c r="M39" i="7"/>
  <c r="F45" i="9"/>
  <c r="I31" i="9"/>
  <c r="I45" i="9" s="1"/>
  <c r="J41" i="7"/>
  <c r="L27" i="7"/>
  <c r="L41" i="7" s="1"/>
  <c r="H41" i="7"/>
  <c r="G45" i="9"/>
  <c r="J31" i="9"/>
  <c r="I31" i="8"/>
  <c r="I45" i="8" s="1"/>
  <c r="F45" i="8"/>
  <c r="D32" i="9"/>
  <c r="F32" i="9" s="1"/>
  <c r="G32" i="9"/>
  <c r="H32" i="9" s="1"/>
  <c r="H46" i="9" s="1"/>
  <c r="H47" i="9" s="1"/>
  <c r="E32" i="9"/>
  <c r="C32" i="7"/>
  <c r="E31" i="7"/>
  <c r="D31" i="7"/>
  <c r="C45" i="7"/>
  <c r="D44" i="7"/>
  <c r="E44" i="7"/>
  <c r="J28" i="7"/>
  <c r="H28" i="7"/>
  <c r="H42" i="7" s="1"/>
  <c r="C45" i="8"/>
  <c r="E44" i="8"/>
  <c r="D44" i="8"/>
  <c r="I30" i="7"/>
  <c r="I44" i="7" s="1"/>
  <c r="F30" i="7"/>
  <c r="M28" i="8"/>
  <c r="J44" i="8"/>
  <c r="L30" i="8"/>
  <c r="J31" i="8"/>
  <c r="G45" i="8"/>
  <c r="E32" i="8"/>
  <c r="D32" i="8"/>
  <c r="F32" i="8" s="1"/>
  <c r="G32" i="8" s="1"/>
  <c r="H32" i="8" s="1"/>
  <c r="L30" i="9"/>
  <c r="J44" i="9"/>
  <c r="M41" i="9"/>
  <c r="L29" i="8"/>
  <c r="J43" i="8"/>
  <c r="H29" i="7" l="1"/>
  <c r="H43" i="7" s="1"/>
  <c r="G43" i="7"/>
  <c r="J29" i="7"/>
  <c r="F44" i="7"/>
  <c r="G30" i="7"/>
  <c r="L44" i="9"/>
  <c r="M30" i="9"/>
  <c r="M44" i="9" s="1"/>
  <c r="L44" i="8"/>
  <c r="M30" i="8"/>
  <c r="M44" i="8" s="1"/>
  <c r="M27" i="7"/>
  <c r="M41" i="7" s="1"/>
  <c r="H33" i="9"/>
  <c r="L43" i="8"/>
  <c r="M29" i="8"/>
  <c r="M43" i="8" s="1"/>
  <c r="C46" i="8"/>
  <c r="D45" i="8"/>
  <c r="E45" i="8"/>
  <c r="J45" i="9"/>
  <c r="L31" i="9"/>
  <c r="F31" i="7"/>
  <c r="I31" i="7"/>
  <c r="I45" i="7" s="1"/>
  <c r="J45" i="8"/>
  <c r="L31" i="8"/>
  <c r="G46" i="9"/>
  <c r="J32" i="9"/>
  <c r="F46" i="8"/>
  <c r="I32" i="8"/>
  <c r="I46" i="8" s="1"/>
  <c r="J42" i="7"/>
  <c r="L28" i="7"/>
  <c r="L42" i="7" s="1"/>
  <c r="F46" i="9"/>
  <c r="I32" i="9"/>
  <c r="I46" i="9" s="1"/>
  <c r="H46" i="8"/>
  <c r="H47" i="8" s="1"/>
  <c r="H33" i="8"/>
  <c r="D32" i="7"/>
  <c r="E32" i="7"/>
  <c r="C46" i="7"/>
  <c r="D45" i="7"/>
  <c r="E45" i="7"/>
  <c r="G46" i="8"/>
  <c r="J32" i="8"/>
  <c r="M42" i="8"/>
  <c r="F45" i="7" l="1"/>
  <c r="G31" i="7"/>
  <c r="L45" i="9"/>
  <c r="M31" i="9"/>
  <c r="M45" i="9" s="1"/>
  <c r="L29" i="7"/>
  <c r="J43" i="7"/>
  <c r="L45" i="8"/>
  <c r="M31" i="8"/>
  <c r="M45" i="8" s="1"/>
  <c r="H30" i="7"/>
  <c r="H44" i="7" s="1"/>
  <c r="J32" i="7"/>
  <c r="J30" i="7"/>
  <c r="G44" i="7"/>
  <c r="M28" i="7"/>
  <c r="M42" i="7" s="1"/>
  <c r="D46" i="8"/>
  <c r="E46" i="8"/>
  <c r="J46" i="8"/>
  <c r="L32" i="8"/>
  <c r="I32" i="7"/>
  <c r="I46" i="7" s="1"/>
  <c r="F32" i="7"/>
  <c r="L32" i="9"/>
  <c r="J46" i="9"/>
  <c r="D46" i="7"/>
  <c r="E46" i="7"/>
  <c r="L46" i="9" l="1"/>
  <c r="M32" i="9"/>
  <c r="M46" i="9" s="1"/>
  <c r="L46" i="8"/>
  <c r="M32" i="8"/>
  <c r="M46" i="8" s="1"/>
  <c r="H31" i="7"/>
  <c r="G45" i="7"/>
  <c r="J31" i="7"/>
  <c r="F46" i="7"/>
  <c r="G32" i="7"/>
  <c r="L32" i="7"/>
  <c r="L46" i="7" s="1"/>
  <c r="J46" i="7"/>
  <c r="L43" i="7"/>
  <c r="M29" i="7"/>
  <c r="M43" i="7" s="1"/>
  <c r="L30" i="7"/>
  <c r="L44" i="7" s="1"/>
  <c r="J44" i="7"/>
  <c r="H32" i="7" l="1"/>
  <c r="H46" i="7" s="1"/>
  <c r="G46" i="7"/>
  <c r="H45" i="7"/>
  <c r="M33" i="8"/>
  <c r="M47" i="8" s="1"/>
  <c r="L31" i="7"/>
  <c r="L45" i="7" s="1"/>
  <c r="J45" i="7"/>
  <c r="M33" i="9"/>
  <c r="M47" i="9" s="1"/>
  <c r="M30" i="7"/>
  <c r="M32" i="7" l="1"/>
  <c r="M46" i="7" s="1"/>
  <c r="H33" i="7"/>
  <c r="H47" i="7"/>
  <c r="M31" i="7"/>
  <c r="M45" i="7" s="1"/>
  <c r="M44" i="7"/>
  <c r="M33" i="7"/>
  <c r="M47" i="7" s="1"/>
  <c r="O34" i="5"/>
  <c r="R34" i="5" l="1"/>
  <c r="J9" i="3" s="1"/>
  <c r="K9" i="3" l="1"/>
  <c r="Y9" i="3" s="1"/>
  <c r="J60" i="3"/>
  <c r="J7" i="3" s="1"/>
  <c r="K7" i="3" s="1"/>
  <c r="E31" i="1" l="1"/>
  <c r="K60" i="3"/>
  <c r="K122" i="3" s="1"/>
  <c r="AA7" i="3"/>
  <c r="S7" i="3" s="1"/>
  <c r="X7" i="3"/>
  <c r="P7" i="3" s="1"/>
  <c r="K13" i="2"/>
  <c r="AA60" i="3" l="1"/>
  <c r="S60" i="3" s="1"/>
  <c r="S122" i="3" s="1"/>
  <c r="Z60" i="3"/>
  <c r="R60" i="3" s="1"/>
  <c r="X60" i="3"/>
  <c r="P60" i="3" s="1"/>
  <c r="T90" i="3"/>
  <c r="P90" i="3" s="1"/>
  <c r="T91" i="3"/>
  <c r="P91" i="3" s="1"/>
  <c r="T114" i="3"/>
  <c r="P114" i="3" s="1"/>
  <c r="T92" i="3"/>
  <c r="P92" i="3" s="1"/>
  <c r="T93" i="3"/>
  <c r="P93" i="3" s="1"/>
  <c r="T13" i="3"/>
  <c r="P13" i="3" s="1"/>
  <c r="T12" i="3"/>
  <c r="P12" i="3" s="1"/>
  <c r="U10" i="3"/>
  <c r="Q10" i="3" s="1"/>
  <c r="U22" i="3"/>
  <c r="Q22" i="3" s="1"/>
  <c r="U86" i="3"/>
  <c r="Q86" i="3" s="1"/>
  <c r="U104" i="3"/>
  <c r="Q104" i="3" s="1"/>
  <c r="U11" i="3"/>
  <c r="Q11" i="3" s="1"/>
  <c r="U15" i="3"/>
  <c r="Q15" i="3" s="1"/>
  <c r="U19" i="3"/>
  <c r="Q19" i="3" s="1"/>
  <c r="U23" i="3"/>
  <c r="Q23" i="3" s="1"/>
  <c r="U87" i="3"/>
  <c r="Q87" i="3" s="1"/>
  <c r="U101" i="3"/>
  <c r="Q101" i="3" s="1"/>
  <c r="U114" i="3"/>
  <c r="Q114" i="3" s="1"/>
  <c r="U12" i="3"/>
  <c r="Q12" i="3" s="1"/>
  <c r="U16" i="3"/>
  <c r="Q16" i="3" s="1"/>
  <c r="U20" i="3"/>
  <c r="Q20" i="3" s="1"/>
  <c r="U88" i="3"/>
  <c r="Q88" i="3" s="1"/>
  <c r="U102" i="3"/>
  <c r="Q102" i="3" s="1"/>
  <c r="T24" i="3"/>
  <c r="P24" i="3" s="1"/>
  <c r="U9" i="3"/>
  <c r="Q9" i="3" s="1"/>
  <c r="U17" i="3"/>
  <c r="Q17" i="3" s="1"/>
  <c r="U21" i="3"/>
  <c r="Q21" i="3" s="1"/>
  <c r="U25" i="3"/>
  <c r="Q25" i="3" s="1"/>
  <c r="U89" i="3"/>
  <c r="Q89" i="3" s="1"/>
  <c r="U103" i="3"/>
  <c r="Q103" i="3" s="1"/>
  <c r="D36" i="1" l="1"/>
  <c r="D34" i="1"/>
  <c r="R122" i="3"/>
  <c r="D32" i="1"/>
  <c r="E37" i="1" l="1"/>
  <c r="F35" i="1" s="1"/>
  <c r="F37" i="1" s="1"/>
  <c r="E35" i="1"/>
  <c r="P122" i="3"/>
  <c r="D30" i="1"/>
  <c r="Q122" i="3"/>
  <c r="E33" i="1" l="1"/>
  <c r="F31" i="1" s="1"/>
  <c r="AO4" i="2" l="1"/>
  <c r="AO7" i="2"/>
  <c r="AO5" i="2"/>
  <c r="AO6" i="2"/>
  <c r="D25" i="1" l="1"/>
  <c r="E25" i="1" s="1"/>
  <c r="D26" i="1"/>
  <c r="E26" i="1" s="1"/>
  <c r="D24" i="1"/>
  <c r="E24" i="1" s="1"/>
  <c r="F25" i="1" l="1"/>
  <c r="F40" i="1" s="1"/>
  <c r="AV4" i="2" s="1"/>
  <c r="AV5" i="2" l="1"/>
  <c r="E28" i="1"/>
  <c r="AV7" i="2"/>
  <c r="AV6" i="2"/>
  <c r="E27" i="1"/>
  <c r="E29" i="1"/>
  <c r="E39" i="1" l="1"/>
  <c r="F39" i="1" s="1"/>
  <c r="E38" i="1"/>
  <c r="F38" i="1" s="1"/>
  <c r="F29" i="1"/>
  <c r="F42" i="1" l="1"/>
  <c r="G45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Luis Carlos Romero Romero</author>
  </authors>
  <commentList>
    <comment ref="E31" authorId="0" shapeId="0" xr:uid="{5D68C76B-48C0-664B-90CB-5227CD7FAEE2}">
      <text>
        <r>
          <rPr>
            <b/>
            <sz val="10"/>
            <color rgb="FF000000"/>
            <rFont val="Tahoma"/>
            <family val="2"/>
          </rPr>
          <t>AJUSTE: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Se incluye la indexación para el costo de flete</t>
        </r>
      </text>
    </comment>
    <comment ref="D32" authorId="0" shapeId="0" xr:uid="{374673CE-24EB-4134-9FA9-7FEE8951DA9D}">
      <text>
        <r>
          <rPr>
            <sz val="9"/>
            <color indexed="81"/>
            <rFont val="Tahoma"/>
            <family val="2"/>
          </rPr>
          <t>Posibilidad de actualizar INCOTERM por arancel costos de manejo y transporte internacional, no se incluye el transporte nacional</t>
        </r>
      </text>
    </comment>
    <comment ref="E37" authorId="0" shapeId="0" xr:uid="{EA530006-788D-4B47-AF65-C195F85DB1ED}">
      <text>
        <r>
          <rPr>
            <b/>
            <sz val="10"/>
            <color rgb="FF000000"/>
            <rFont val="Tahoma"/>
            <family val="2"/>
          </rPr>
          <t>AJUSTE: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Se aplica el indexador a cada componente por separado en lugar de agreagar y aplicar 60% 40%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Luis Carlos Romero Romero</author>
  </authors>
  <commentList>
    <comment ref="J14" authorId="0" shapeId="0" xr:uid="{FC9C8B23-DA0A-4D23-B11F-65EE22477000}">
      <text>
        <r>
          <rPr>
            <b/>
            <sz val="9"/>
            <color indexed="81"/>
            <rFont val="Tahoma"/>
            <family val="2"/>
          </rPr>
          <t>CREG:=Pi*D^2/4</t>
        </r>
        <r>
          <rPr>
            <sz val="9"/>
            <color indexed="81"/>
            <rFont val="Tahoma"/>
            <family val="2"/>
          </rPr>
          <t xml:space="preserve">
CENIT:
2Pi*R*h-&gt; señalan que h=R/2, entonces
2PI*R*R/2=Pi*D^2/4, que es la misma fórmula</t>
        </r>
      </text>
    </comment>
    <comment ref="T29" authorId="0" shapeId="0" xr:uid="{4F3C6EA0-688D-2341-B0B8-D7E63F92690E}">
      <text>
        <r>
          <rPr>
            <b/>
            <sz val="10"/>
            <color rgb="FF000000"/>
            <rFont val="Tahoma"/>
            <family val="2"/>
          </rPr>
          <t>Ajuste: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Se actualiza el precio a dolares de fecha de cálculo</t>
        </r>
      </text>
    </comment>
    <comment ref="T35" authorId="0" shapeId="0" xr:uid="{C4482F17-441A-7643-94FA-4119E2EE92F2}">
      <text>
        <r>
          <rPr>
            <b/>
            <sz val="10"/>
            <color rgb="FF000000"/>
            <rFont val="Tahoma"/>
            <family val="2"/>
          </rPr>
          <t>Ajuste: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Se actualiza el precio a dolares de fecha de cálculo</t>
        </r>
      </text>
    </comment>
    <comment ref="T41" authorId="0" shapeId="0" xr:uid="{148028BF-1DEE-BC44-AFC1-A6319788106C}">
      <text>
        <r>
          <rPr>
            <b/>
            <sz val="10"/>
            <color rgb="FF000000"/>
            <rFont val="Tahoma"/>
            <family val="2"/>
          </rPr>
          <t>Ajuste: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Se actualiza el precio a dolares de fecha de cálculo</t>
        </r>
      </text>
    </comment>
    <comment ref="T52" authorId="0" shapeId="0" xr:uid="{B1A823FF-4D46-EF4A-BB8F-C490567F937D}">
      <text>
        <r>
          <rPr>
            <b/>
            <sz val="10"/>
            <color rgb="FF000000"/>
            <rFont val="Tahoma"/>
            <family val="2"/>
          </rPr>
          <t>Ajuste: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Se actualiza el precio a dolares de fecha de cálculo</t>
        </r>
      </text>
    </comment>
    <comment ref="T57" authorId="0" shapeId="0" xr:uid="{1D4162D7-5757-2045-921D-5CFF4BA0BA41}">
      <text>
        <r>
          <rPr>
            <b/>
            <sz val="10"/>
            <color rgb="FF000000"/>
            <rFont val="Tahoma"/>
            <family val="2"/>
          </rPr>
          <t>Ajuste: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Se actualiza el precio a dolares de fecha de cálculo</t>
        </r>
      </text>
    </comment>
    <comment ref="J61" authorId="0" shapeId="0" xr:uid="{C29CC1A2-A629-4735-BD42-A8DBCCEE0BEC}">
      <text>
        <r>
          <rPr>
            <b/>
            <sz val="9"/>
            <color indexed="81"/>
            <rFont val="Tahoma"/>
            <family val="2"/>
          </rPr>
          <t>CREG:=Pi*D^2/4</t>
        </r>
        <r>
          <rPr>
            <sz val="9"/>
            <color indexed="81"/>
            <rFont val="Tahoma"/>
            <family val="2"/>
          </rPr>
          <t xml:space="preserve">
CENIT:
2Pi*R*h=
2PI*R*R/2=P*iD^2/4, que es la misma fórmula.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458" authorId="0" shapeId="0" xr:uid="{00000000-0006-0000-0800-000001000000}">
      <text>
        <r>
          <rPr>
            <b/>
            <sz val="9"/>
            <color rgb="FF000000"/>
            <rFont val="Tahoma"/>
            <family val="2"/>
            <charset val="1"/>
          </rPr>
          <t xml:space="preserve">user:
</t>
        </r>
        <r>
          <rPr>
            <sz val="9"/>
            <color rgb="FF000000"/>
            <rFont val="Tahoma"/>
            <family val="2"/>
            <charset val="1"/>
          </rPr>
          <t>5 Sumidero y Manhole 24"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<sst xmlns="http://schemas.openxmlformats.org/spreadsheetml/2006/main" count="5852" uniqueCount="1183">
  <si>
    <t>MODELO DE VALORACIÓN DE ESTACIONES DE ALMACENAMIENTO PARA REFINADOS</t>
  </si>
  <si>
    <t xml:space="preserve">Instrucciones: </t>
  </si>
  <si>
    <t>Fije año y mes de valoración</t>
  </si>
  <si>
    <t>Este no puede ser anterior a enero de 2021</t>
  </si>
  <si>
    <t xml:space="preserve">Diligencia la capacidad de  almacenamiento </t>
  </si>
  <si>
    <t>Identifique el tipo de  techo del almacenamiento</t>
  </si>
  <si>
    <t>Idetifique si tiene o no membrana</t>
  </si>
  <si>
    <t>Identifique la capacidad del tanque</t>
  </si>
  <si>
    <t>Identifique la región donde se ejecutó</t>
  </si>
  <si>
    <t>Identifique si la obra requirio pilotes</t>
  </si>
  <si>
    <t>Si requiere realizar una valoración verifique en la hoja indice que se disponga de los valores para la fecha en que se desea realizar</t>
  </si>
  <si>
    <t>MODELO DE VALORACIÓN DE TANQUES PARA REFINADOS</t>
  </si>
  <si>
    <t>Valores en dólares americanos</t>
  </si>
  <si>
    <t>Estimado clase 3 rango de incertidumbre de -20% a +30%</t>
  </si>
  <si>
    <t>DATO ENTRADA</t>
  </si>
  <si>
    <t>FORMULA</t>
  </si>
  <si>
    <t>TEXTOS FIJOS</t>
  </si>
  <si>
    <t>Fecha base</t>
  </si>
  <si>
    <t>Referencia de indexación</t>
  </si>
  <si>
    <t>Fecha para valoración</t>
  </si>
  <si>
    <t>Mes-Año de cálculo</t>
  </si>
  <si>
    <t>Mes-Año Base</t>
  </si>
  <si>
    <t>Producto</t>
  </si>
  <si>
    <t>Refinados</t>
  </si>
  <si>
    <t>TRM ($/USD)</t>
  </si>
  <si>
    <t>Tipo de techo</t>
  </si>
  <si>
    <t>Flotante</t>
  </si>
  <si>
    <t>ÍNDICE PRECIO DEL ACERO (USD/Ton)</t>
  </si>
  <si>
    <t>Con membrana (SI/NO)</t>
  </si>
  <si>
    <t>ÍNDICE PRECIO DEL ALUMINIO</t>
  </si>
  <si>
    <t>ÍNDICE PARA INSTRUMENTOS DE CONTROL</t>
  </si>
  <si>
    <t>Capacidad</t>
  </si>
  <si>
    <t>Barriles</t>
  </si>
  <si>
    <t>ÍNDICE PARA OBRA CIVIL</t>
  </si>
  <si>
    <t>Altura (fts)</t>
  </si>
  <si>
    <t>pies</t>
  </si>
  <si>
    <t>IPC</t>
  </si>
  <si>
    <t>Diámetro (fts)</t>
  </si>
  <si>
    <t>FACTOR INCREMENTO MANO DE OBRA</t>
  </si>
  <si>
    <t>Regionalización</t>
  </si>
  <si>
    <t>Magdalena medio</t>
  </si>
  <si>
    <t>Incluye pilotes</t>
  </si>
  <si>
    <t>ITEMS GENERALES DE COSTO</t>
  </si>
  <si>
    <t>Factores de cálculo</t>
  </si>
  <si>
    <t>COSTOS USD$</t>
  </si>
  <si>
    <t>COSTOS TOTALES
USD$</t>
  </si>
  <si>
    <t>METODOLOGÍA DE  CALCULO</t>
  </si>
  <si>
    <t>INGENIERIA</t>
  </si>
  <si>
    <t>CONCEPTUAL</t>
  </si>
  <si>
    <t xml:space="preserve"> COSTO DE INGENIERIA + IVA</t>
  </si>
  <si>
    <t>7% DEL COSTO DE MATERIALES, CONTRUCCION Y MONTAJE</t>
  </si>
  <si>
    <t>BASICA</t>
  </si>
  <si>
    <t>DETALLE</t>
  </si>
  <si>
    <t>GESTION INMOBILIARIA</t>
  </si>
  <si>
    <t xml:space="preserve"> GESTION INMOBILIARIA + LICENCIAMIENTO AMBIENTAL + GESTION SOCIAL + IVA</t>
  </si>
  <si>
    <r>
      <rPr>
        <sz val="10"/>
        <rFont val="Arial"/>
        <family val="2"/>
        <charset val="1"/>
      </rPr>
      <t>5</t>
    </r>
    <r>
      <rPr>
        <sz val="10"/>
        <color rgb="FF000000"/>
        <rFont val="Arial"/>
        <family val="2"/>
        <charset val="1"/>
      </rPr>
      <t>% DEL COSTO DE INGENIERIA, MATERIALES,  COSNTRUCCIÓN, MONTAJE Y COMISIONAMIENTO</t>
    </r>
  </si>
  <si>
    <t>LICENCIAMIENTO AMBIENTAL Y DE CONSTRUCCION</t>
  </si>
  <si>
    <t>GESTION SOCIAL</t>
  </si>
  <si>
    <t>MATERIALES</t>
  </si>
  <si>
    <t>PRODUCCIÓN NACIONAL INDEXADA</t>
  </si>
  <si>
    <t xml:space="preserve">1. COSTO DE TRANSPORTE  INDEXADO DE MATERIALES </t>
  </si>
  <si>
    <t>3. COSTO DE MATERIALES + TRANSPORTE + IVA</t>
  </si>
  <si>
    <t>DESPIECE</t>
  </si>
  <si>
    <t>IMPORTADOS INDEXADOS NACIONALIZADOS</t>
  </si>
  <si>
    <t>2. COSTO DE MATERIALES + TRANSPORTE (INDEXADOS)</t>
  </si>
  <si>
    <t>CONSTRUCCIÓN Y MONTAJE</t>
  </si>
  <si>
    <t>MANO DE OBRA</t>
  </si>
  <si>
    <t>1.COSTO BASE C Y M</t>
  </si>
  <si>
    <t>3. COSTO  REGIONALIZADO  INDEXADO + IU</t>
  </si>
  <si>
    <t>EQUIPOS</t>
  </si>
  <si>
    <t>2.COSTO C Y M REGIONALIZADO  INDEXADO</t>
  </si>
  <si>
    <t>4. COSTO  REGIONALIZADO INDEXADO + IU + IVA 19%</t>
  </si>
  <si>
    <t>INTERVENTORIA</t>
  </si>
  <si>
    <t>7% DEL COSTO DE CONSTRUCCIÓN, MONTAJE Y COMISIONAMIENTO</t>
  </si>
  <si>
    <t>GERENCIA DE PROYECTO</t>
  </si>
  <si>
    <t>20% DEL COSTO DE CONSTRUCCIÓN, MONTAJE Y COMISIONAMIENTO</t>
  </si>
  <si>
    <t>COMISIONADO Y ENTREGA
(PRE-COMMISSIONING &amp; COMMISSIONING)</t>
  </si>
  <si>
    <t>5% DEL COSTO DE INGENIERIA, CONSTRUCCIÓN, MONTAJE Y MATERIALES</t>
  </si>
  <si>
    <t>GRAN TOTAL COSTO DE CONSTRUCCIÓN TANQUE US</t>
  </si>
  <si>
    <t>Dolares Estadounidenses de</t>
  </si>
  <si>
    <t>USD$ (Quinquenal)</t>
  </si>
  <si>
    <t>USD/Bls (Quinquenal)</t>
  </si>
  <si>
    <t>% Valor Tanque</t>
  </si>
  <si>
    <t>MANTENIMIENTO</t>
  </si>
  <si>
    <t>ID</t>
  </si>
  <si>
    <t>TRM año de cálculo $/USD</t>
  </si>
  <si>
    <t xml:space="preserve">Tasa promedio mensual </t>
  </si>
  <si>
    <t>https://www.banrep.gov.co/es/estadisticas/trm</t>
  </si>
  <si>
    <t>Fecha</t>
  </si>
  <si>
    <t>PPI USA - ACERO</t>
  </si>
  <si>
    <t>ICOCIV</t>
  </si>
  <si>
    <t>PPI USA - Aluminio</t>
  </si>
  <si>
    <t>PPI USA – INSTR. DE CONTROL PROC. INDUSTR.</t>
  </si>
  <si>
    <t>FACTOR  INCREMENTO MANO DE OBRA</t>
  </si>
  <si>
    <t>IPC_dólares</t>
  </si>
  <si>
    <t>año</t>
  </si>
  <si>
    <t>Salarios</t>
  </si>
  <si>
    <t>MES</t>
  </si>
  <si>
    <t>TRM</t>
  </si>
  <si>
    <t xml:space="preserve">PPI USA - BARRAS PLATINAS ESTRUCTURAS DE ACERO	</t>
  </si>
  <si>
    <t xml:space="preserve">pcu3311103311107       </t>
  </si>
  <si>
    <t>Hot rolled steel bars, plates, and structural shapes</t>
  </si>
  <si>
    <t>https://data.bls.gov/cgi-bin/srgate</t>
  </si>
  <si>
    <t>Indice de precios del Consumidor en Colombia</t>
  </si>
  <si>
    <t>https://www.banrep.gov.co/es/estadisticas/indice-precios-consumidor-ipc</t>
  </si>
  <si>
    <t>índice de costos de obras civiles DANE</t>
  </si>
  <si>
    <t>https://www.dane.gov.co/index.php/estadisticas-por-tema/precios-y-costos/indice-de-costos-de-la-construccion-de-obras-civiles-icociv</t>
  </si>
  <si>
    <t>PPI USA DEL ALUMINIO</t>
  </si>
  <si>
    <t>pcu331318331318</t>
  </si>
  <si>
    <t>Other aluminum rolling, drawing, and extruding</t>
  </si>
  <si>
    <t xml:space="preserve">pcu3345133345130    </t>
  </si>
  <si>
    <t>Process control instruments</t>
  </si>
  <si>
    <t>A partir de evolución del salario mínimo</t>
  </si>
  <si>
    <t>http://www.banrep.gov.co/es/indice-salarios</t>
  </si>
  <si>
    <t>Se recomienda bajar la serie completa, recuerde que los PPI de los últimos cuatro meses que ha públicado BLS.gov son preliminares , por lo que se sugiere tomar la fecha de valoración en una con los PPI ya fijos.</t>
  </si>
  <si>
    <t>PPI  DEL ACERO</t>
  </si>
  <si>
    <t>PPI  DEL ALUMINIO</t>
  </si>
  <si>
    <t>ARANCEL</t>
  </si>
  <si>
    <t>AJUSTE COSTO IMPORTACIONES POR LOGISTICA DE TRANSPORTE</t>
  </si>
  <si>
    <t>Concepto</t>
  </si>
  <si>
    <t>General</t>
  </si>
  <si>
    <t>General (Base)</t>
  </si>
  <si>
    <t>Transporte terreste exterior</t>
  </si>
  <si>
    <t>Transporte internacional</t>
  </si>
  <si>
    <t>Cadena Logistica</t>
  </si>
  <si>
    <t>Operación aduanera</t>
  </si>
  <si>
    <t>Total</t>
  </si>
  <si>
    <t>2024/06/22</t>
  </si>
  <si>
    <t>2024/06/23</t>
  </si>
  <si>
    <t>2024/06/24</t>
  </si>
  <si>
    <t>2024/06/25</t>
  </si>
  <si>
    <t>2024/06/26</t>
  </si>
  <si>
    <t>2024/06/27</t>
  </si>
  <si>
    <t>2024/06/28</t>
  </si>
  <si>
    <t>2024/06/29</t>
  </si>
  <si>
    <t>2024/06/30</t>
  </si>
  <si>
    <t>2024/07/01</t>
  </si>
  <si>
    <t>2024/07/02</t>
  </si>
  <si>
    <t>2024/07/03</t>
  </si>
  <si>
    <t>2024/07/04</t>
  </si>
  <si>
    <t>2024/07/05</t>
  </si>
  <si>
    <t>2024/07/06</t>
  </si>
  <si>
    <t>2024/07/07</t>
  </si>
  <si>
    <t>2024/07/08</t>
  </si>
  <si>
    <t>2024/07/09</t>
  </si>
  <si>
    <t>2024/07/10</t>
  </si>
  <si>
    <t>2024/07/11</t>
  </si>
  <si>
    <t>2024/07/12</t>
  </si>
  <si>
    <t>2024/07/13</t>
  </si>
  <si>
    <t>2024/07/14</t>
  </si>
  <si>
    <t>2024/07/15</t>
  </si>
  <si>
    <t>2024/07/16</t>
  </si>
  <si>
    <t>2024/07/17</t>
  </si>
  <si>
    <t>2024/07/18</t>
  </si>
  <si>
    <t>2024/07/19</t>
  </si>
  <si>
    <t>2024/07/20</t>
  </si>
  <si>
    <t>2024/07/21</t>
  </si>
  <si>
    <t>2024/07/22</t>
  </si>
  <si>
    <t>2024/07/23</t>
  </si>
  <si>
    <t>2024/07/24</t>
  </si>
  <si>
    <t>2024/07/25</t>
  </si>
  <si>
    <t>2024/07/26</t>
  </si>
  <si>
    <t>2024/07/27</t>
  </si>
  <si>
    <t>2024/07/28</t>
  </si>
  <si>
    <t>2024/07/29</t>
  </si>
  <si>
    <t>2024/07/30</t>
  </si>
  <si>
    <t>2024/07/31</t>
  </si>
  <si>
    <t>2024/08/01</t>
  </si>
  <si>
    <t>2024/08/02</t>
  </si>
  <si>
    <t>2024/08/03</t>
  </si>
  <si>
    <t>2024/08/04</t>
  </si>
  <si>
    <t>2024/08/05</t>
  </si>
  <si>
    <t>2024/08/06</t>
  </si>
  <si>
    <t>2024/08/07</t>
  </si>
  <si>
    <t>2024/08/08</t>
  </si>
  <si>
    <t>2024/08/09</t>
  </si>
  <si>
    <t>2024/08/10</t>
  </si>
  <si>
    <t>2024/08/11</t>
  </si>
  <si>
    <t>2024/08/12</t>
  </si>
  <si>
    <t>2024/08/13</t>
  </si>
  <si>
    <t>2024/08/14</t>
  </si>
  <si>
    <t>2024/08/15</t>
  </si>
  <si>
    <t>2024/08/16</t>
  </si>
  <si>
    <t>2024/08/17</t>
  </si>
  <si>
    <t>2024/08/18</t>
  </si>
  <si>
    <t>2024/08/19</t>
  </si>
  <si>
    <t>2024/08/20</t>
  </si>
  <si>
    <t>2024/08/21</t>
  </si>
  <si>
    <t>2024/08/22</t>
  </si>
  <si>
    <t>2024/08/23</t>
  </si>
  <si>
    <t>2024/08/24</t>
  </si>
  <si>
    <t>2024/08/25</t>
  </si>
  <si>
    <t>2024/08/26</t>
  </si>
  <si>
    <t>2024/08/27</t>
  </si>
  <si>
    <t>2024/08/28</t>
  </si>
  <si>
    <t>2024/08/29</t>
  </si>
  <si>
    <t>2024/08/30</t>
  </si>
  <si>
    <t>2024/08/31</t>
  </si>
  <si>
    <t>2024/09/01</t>
  </si>
  <si>
    <t>2024/09/02</t>
  </si>
  <si>
    <t>2024/09/03</t>
  </si>
  <si>
    <t>2024/09/04</t>
  </si>
  <si>
    <t>2024/09/05</t>
  </si>
  <si>
    <t>2024/09/06</t>
  </si>
  <si>
    <t>2024/09/07</t>
  </si>
  <si>
    <t>2024/09/08</t>
  </si>
  <si>
    <t>2024/09/09</t>
  </si>
  <si>
    <t>2024/09/10</t>
  </si>
  <si>
    <t>2024/09/11</t>
  </si>
  <si>
    <t>2024/09/12</t>
  </si>
  <si>
    <t>2024/09/13</t>
  </si>
  <si>
    <t>2024/09/14</t>
  </si>
  <si>
    <t>2024/09/15</t>
  </si>
  <si>
    <t>2024/09/16</t>
  </si>
  <si>
    <t>2024/09/17</t>
  </si>
  <si>
    <t>2024/09/18</t>
  </si>
  <si>
    <t>2024/09/19</t>
  </si>
  <si>
    <t>2024/09/20</t>
  </si>
  <si>
    <t>2024/09/21</t>
  </si>
  <si>
    <t>2024/09/22</t>
  </si>
  <si>
    <t>2024/09/23</t>
  </si>
  <si>
    <t>2024/09/24</t>
  </si>
  <si>
    <t>2024/09/25</t>
  </si>
  <si>
    <t>2024/09/26</t>
  </si>
  <si>
    <t>2024/09/27</t>
  </si>
  <si>
    <t>2024/09/28</t>
  </si>
  <si>
    <t>2024/09/29</t>
  </si>
  <si>
    <t>2024/09/30</t>
  </si>
  <si>
    <t>2024/10/01</t>
  </si>
  <si>
    <t>2024/10/02</t>
  </si>
  <si>
    <t>2024/10/03</t>
  </si>
  <si>
    <t>2024/10/04</t>
  </si>
  <si>
    <t>2024/10/05</t>
  </si>
  <si>
    <t>2024/10/06</t>
  </si>
  <si>
    <t>2024/10/07</t>
  </si>
  <si>
    <t>2024/10/08</t>
  </si>
  <si>
    <t>2024/10/09</t>
  </si>
  <si>
    <t>2024/10/10</t>
  </si>
  <si>
    <t>2024/10/11</t>
  </si>
  <si>
    <t>2024/10/12</t>
  </si>
  <si>
    <t>2024/10/13</t>
  </si>
  <si>
    <t>2024/10/14</t>
  </si>
  <si>
    <t>2024/10/15</t>
  </si>
  <si>
    <t>2024/10/16</t>
  </si>
  <si>
    <t>2024/10/17</t>
  </si>
  <si>
    <t>2024/10/18</t>
  </si>
  <si>
    <t>2024/10/19</t>
  </si>
  <si>
    <t>2024/10/20</t>
  </si>
  <si>
    <t>2024/10/21</t>
  </si>
  <si>
    <t>2024/10/22</t>
  </si>
  <si>
    <t>2024/10/23</t>
  </si>
  <si>
    <t>2024/10/24</t>
  </si>
  <si>
    <t>2024/10/25</t>
  </si>
  <si>
    <t>2024/10/26</t>
  </si>
  <si>
    <t>2024/10/27</t>
  </si>
  <si>
    <t>2024/10/28</t>
  </si>
  <si>
    <t>2024/10/29</t>
  </si>
  <si>
    <t>2024/10/30</t>
  </si>
  <si>
    <t>2024/10/31</t>
  </si>
  <si>
    <t>2024/11/01</t>
  </si>
  <si>
    <t>2024/11/02</t>
  </si>
  <si>
    <t>2024/11/03</t>
  </si>
  <si>
    <t>2024/11/04</t>
  </si>
  <si>
    <t>2024/11/05</t>
  </si>
  <si>
    <t>2024/11/06</t>
  </si>
  <si>
    <t>2024/11/07</t>
  </si>
  <si>
    <t>2024/11/08</t>
  </si>
  <si>
    <t>2024/11/09</t>
  </si>
  <si>
    <t>2024/11/10</t>
  </si>
  <si>
    <t>2024/11/11</t>
  </si>
  <si>
    <t>2024/11/12</t>
  </si>
  <si>
    <t>2024/11/13</t>
  </si>
  <si>
    <t>2024/11/14</t>
  </si>
  <si>
    <t>2024/11/15</t>
  </si>
  <si>
    <t>2024/11/16</t>
  </si>
  <si>
    <t>2024/11/17</t>
  </si>
  <si>
    <t>2024/11/18</t>
  </si>
  <si>
    <t>2024/11/19</t>
  </si>
  <si>
    <t>2024/11/20</t>
  </si>
  <si>
    <t>2024/11/21</t>
  </si>
  <si>
    <t>2024/11/22</t>
  </si>
  <si>
    <t>2024/11/23</t>
  </si>
  <si>
    <t>2024/11/24</t>
  </si>
  <si>
    <t>2024/11/25</t>
  </si>
  <si>
    <t>2024/11/26</t>
  </si>
  <si>
    <t>2024/11/27</t>
  </si>
  <si>
    <t>2024/11/28</t>
  </si>
  <si>
    <t>2024/11/29</t>
  </si>
  <si>
    <t>2024/11/30</t>
  </si>
  <si>
    <t>2024/12/01</t>
  </si>
  <si>
    <t>2024/12/02</t>
  </si>
  <si>
    <t>2024/12/03</t>
  </si>
  <si>
    <t>2024/12/04</t>
  </si>
  <si>
    <t>2024/12/05</t>
  </si>
  <si>
    <t>2024/12/06</t>
  </si>
  <si>
    <t>2024/12/07</t>
  </si>
  <si>
    <t>2024/12/08</t>
  </si>
  <si>
    <t>2024/12/09</t>
  </si>
  <si>
    <t>2024/12/10</t>
  </si>
  <si>
    <t>2024/12/11</t>
  </si>
  <si>
    <t>2024/12/12</t>
  </si>
  <si>
    <t>2024/12/13</t>
  </si>
  <si>
    <t>2024/12/14</t>
  </si>
  <si>
    <t>2024/12/15</t>
  </si>
  <si>
    <t>2024/12/16</t>
  </si>
  <si>
    <t>2024/12/17</t>
  </si>
  <si>
    <t>2024/12/18</t>
  </si>
  <si>
    <t>2024/12/19</t>
  </si>
  <si>
    <t>2024/12/20</t>
  </si>
  <si>
    <t>2024/12/21</t>
  </si>
  <si>
    <t>2024/12/22</t>
  </si>
  <si>
    <t>2024/12/23</t>
  </si>
  <si>
    <t>2024/12/24</t>
  </si>
  <si>
    <t>2024/12/25</t>
  </si>
  <si>
    <t>2024/12/26</t>
  </si>
  <si>
    <t>2024/12/27</t>
  </si>
  <si>
    <t>2024/12/28</t>
  </si>
  <si>
    <t>2024/12/29</t>
  </si>
  <si>
    <t>2024/12/30</t>
  </si>
  <si>
    <t>2024/12/31</t>
  </si>
  <si>
    <t>2025/01/01</t>
  </si>
  <si>
    <t>2025/01/02</t>
  </si>
  <si>
    <t>2025/01/03</t>
  </si>
  <si>
    <t>2025/01/04</t>
  </si>
  <si>
    <t>2025/01/05</t>
  </si>
  <si>
    <t>2025/01/06</t>
  </si>
  <si>
    <t>2025/01/07</t>
  </si>
  <si>
    <t>2025/01/08</t>
  </si>
  <si>
    <t>2025/01/09</t>
  </si>
  <si>
    <t>2025/01/10</t>
  </si>
  <si>
    <t>2025/01/11</t>
  </si>
  <si>
    <t>2025/01/12</t>
  </si>
  <si>
    <t>2025/01/13</t>
  </si>
  <si>
    <t>2025/01/14</t>
  </si>
  <si>
    <t>2025/01/15</t>
  </si>
  <si>
    <t>2025/01/16</t>
  </si>
  <si>
    <t>2025/01/17</t>
  </si>
  <si>
    <t>2025/01/18</t>
  </si>
  <si>
    <t>2025/01/19</t>
  </si>
  <si>
    <t>2025/01/20</t>
  </si>
  <si>
    <t>2025/01/21</t>
  </si>
  <si>
    <t>2025/01/22</t>
  </si>
  <si>
    <t>2025/01/23</t>
  </si>
  <si>
    <t>2025/01/24</t>
  </si>
  <si>
    <t>2025/01/25</t>
  </si>
  <si>
    <t>2025/01/26</t>
  </si>
  <si>
    <t>2025/01/27</t>
  </si>
  <si>
    <t>DISTRIBUCION POR TIPO DE INGENIERIA</t>
  </si>
  <si>
    <t>Altura/Longitud</t>
  </si>
  <si>
    <t>Diámetro</t>
  </si>
  <si>
    <t>Unidad Capacidad</t>
  </si>
  <si>
    <t>Unidad Altura/Longitud</t>
  </si>
  <si>
    <t>Unidad Diámetro</t>
  </si>
  <si>
    <t>DESCRIPCION</t>
  </si>
  <si>
    <t>VALOR</t>
  </si>
  <si>
    <t>Region</t>
  </si>
  <si>
    <t>Factor planta (const. y mont.)</t>
  </si>
  <si>
    <t>METRICA EN COL$/TON-KM indexado</t>
  </si>
  <si>
    <t>DISTANCIA PROMEDIO (KM)</t>
  </si>
  <si>
    <t>USD$/TONELADA indexado</t>
  </si>
  <si>
    <t>USD$/Kg</t>
  </si>
  <si>
    <t>Calificación afectación por regiones</t>
  </si>
  <si>
    <t>Factores Determinantes</t>
  </si>
  <si>
    <t>VALVULAS TANQUE</t>
  </si>
  <si>
    <t>PORCENTAJES INGENIERIA MODELO DE ESTACIONES</t>
  </si>
  <si>
    <t>COSTO POR RANGO
(USD$)</t>
  </si>
  <si>
    <t>BÁSICA</t>
  </si>
  <si>
    <t>DETALLADA</t>
  </si>
  <si>
    <t>PORCENTAJES GERENCIA E INTERVENTORIA PARA TANQUES</t>
  </si>
  <si>
    <t>Bls</t>
  </si>
  <si>
    <t>Pies</t>
  </si>
  <si>
    <t>trm_base</t>
  </si>
  <si>
    <t>Tasa representativa del mercado de dic  año 2024 (COL$/USD$)</t>
  </si>
  <si>
    <t>Costa caribe</t>
  </si>
  <si>
    <t>Cónico</t>
  </si>
  <si>
    <t xml:space="preserve">Factor determinante del peso de las válvulas por el diámetro del tanque </t>
  </si>
  <si>
    <t>FDPesoV</t>
  </si>
  <si>
    <t>Diam.</t>
  </si>
  <si>
    <t>Cant.</t>
  </si>
  <si>
    <t>Peso Unit</t>
  </si>
  <si>
    <t>Peso Total</t>
  </si>
  <si>
    <t>COSTO POR RANGO
(MUSD)</t>
  </si>
  <si>
    <t>%
TANQUE</t>
  </si>
  <si>
    <t>Aplicar factores</t>
  </si>
  <si>
    <t>&gt;= MÍNIMO</t>
  </si>
  <si>
    <t>&lt; MÁXIMO</t>
  </si>
  <si>
    <t>% INTERVENTORIA</t>
  </si>
  <si>
    <t>% GERENCIA</t>
  </si>
  <si>
    <t>% TOTAL</t>
  </si>
  <si>
    <t>fac_iva</t>
  </si>
  <si>
    <t>Factor para el cálculo del iva sobre materiales, costrucción y montaje.</t>
  </si>
  <si>
    <t>Geodésico</t>
  </si>
  <si>
    <t xml:space="preserve">Factor determinante del peso de las tuberías por el diámetro del tanque </t>
  </si>
  <si>
    <t>FDPesoT</t>
  </si>
  <si>
    <t>2"</t>
  </si>
  <si>
    <t>&lt;5</t>
  </si>
  <si>
    <t>fac_mano_obra</t>
  </si>
  <si>
    <t>Factor de ajuste a la mano de obra para construcción y montaje, para valores en dolares</t>
  </si>
  <si>
    <t>Centro occidente</t>
  </si>
  <si>
    <t>Crudo</t>
  </si>
  <si>
    <t xml:space="preserve">Factor determinante de la pintura de las tuberías por el diámetro del tanque </t>
  </si>
  <si>
    <t>FDPint</t>
  </si>
  <si>
    <t>3"</t>
  </si>
  <si>
    <t>&gt;5 &lt;10</t>
  </si>
  <si>
    <t>ipc_base</t>
  </si>
  <si>
    <t>Indice de precios al consumidor de dic  año 2024</t>
  </si>
  <si>
    <t>Sur</t>
  </si>
  <si>
    <t>GLP</t>
  </si>
  <si>
    <t>Bala</t>
  </si>
  <si>
    <t xml:space="preserve">Factor determinante de la caja de inspección por el diámetro del tanque </t>
  </si>
  <si>
    <t>FDCajaI</t>
  </si>
  <si>
    <t>4"</t>
  </si>
  <si>
    <t>&gt;10 &lt;15</t>
  </si>
  <si>
    <t>ipc</t>
  </si>
  <si>
    <t>Indice de precios al consumidor del año de cálculo</t>
  </si>
  <si>
    <t>Llanos - Nariño</t>
  </si>
  <si>
    <t xml:space="preserve">Factor determinante de las escaleras metálicas por el diámetro del tanque </t>
  </si>
  <si>
    <t>FDEsc</t>
  </si>
  <si>
    <t>8"</t>
  </si>
  <si>
    <t>&gt;15 &lt;20</t>
  </si>
  <si>
    <t>fac_regionalizacion</t>
  </si>
  <si>
    <t>Factor de ajuste para la región donde se realizará la construcción y montaje del tanque</t>
  </si>
  <si>
    <t>Factor determinante de suministro e instalación de cable multiconductor 300V por el diámetro del tanque</t>
  </si>
  <si>
    <t>FDInst</t>
  </si>
  <si>
    <t>24"</t>
  </si>
  <si>
    <t>fac_utilidad</t>
  </si>
  <si>
    <t>Utilidad %</t>
  </si>
  <si>
    <t>Factor determinante de suministro e instalación cable de instrumentación por el diámetro del tanque</t>
  </si>
  <si>
    <t>FDCableI</t>
  </si>
  <si>
    <t>PESO TOTAL</t>
  </si>
  <si>
    <t>fac_area_techof</t>
  </si>
  <si>
    <t>Factor de cálculo y conveersión del área del techo flotante del tanque seleccionado</t>
  </si>
  <si>
    <t>Factor determinante suministro e instalación de cable de comunicación por diámetro de tanque</t>
  </si>
  <si>
    <t>FDCableC</t>
  </si>
  <si>
    <t>iAcero_base</t>
  </si>
  <si>
    <t>Índice precio del acero (PPI acero dic año 2024)</t>
  </si>
  <si>
    <t>Factor determinante de prueba hidrostática de líneas de tubería por diámetro del tanque</t>
  </si>
  <si>
    <t>FDHidro</t>
  </si>
  <si>
    <t>fac_imprevistos</t>
  </si>
  <si>
    <t>Imprevistos %</t>
  </si>
  <si>
    <t>Factor determinante para suministro e instalación de kit de aislamiento para tuberías de diámetro entre 2" - 6" por diametro del tanque</t>
  </si>
  <si>
    <t>FDKit1</t>
  </si>
  <si>
    <t>TUBERIA DESDE TANQUE A SALIDA DIQUE</t>
  </si>
  <si>
    <t>fac_iAcero</t>
  </si>
  <si>
    <t>Índice (cálculo / base)</t>
  </si>
  <si>
    <t>Factor determinante para suministro e instalación de kit de aislamiento para tuberías de diámetro entre 8" -16" por diametro del tanque</t>
  </si>
  <si>
    <t>FDKit2</t>
  </si>
  <si>
    <t>PESO TUB.</t>
  </si>
  <si>
    <t>Peso/mt</t>
  </si>
  <si>
    <t># DE LINEAS</t>
  </si>
  <si>
    <t>Pintura/mt</t>
  </si>
  <si>
    <t>iAluminio_base</t>
  </si>
  <si>
    <t>Índice precio del aluminio (PPI aluminio dic año 2024)</t>
  </si>
  <si>
    <t>Factor determinante para suministro e instalación de kit de aislamiento para tuberías de diámetro entre 20" -30" por diametro del tanque</t>
  </si>
  <si>
    <t>FDKit3</t>
  </si>
  <si>
    <t>fac_iAluminio</t>
  </si>
  <si>
    <t>iInstControl_base</t>
  </si>
  <si>
    <t>Índice para instrumentos de control año 2024</t>
  </si>
  <si>
    <t>fac_iInstControl</t>
  </si>
  <si>
    <t>iMedidores_base</t>
  </si>
  <si>
    <t>Índice para medidores año 2024</t>
  </si>
  <si>
    <t>iObraCivil_base</t>
  </si>
  <si>
    <t>Índice para obra civil año 2024, para valores en dolares</t>
  </si>
  <si>
    <t>fac_iObraCivil</t>
  </si>
  <si>
    <t>Índice (cálculo / base), para valores en dolares</t>
  </si>
  <si>
    <t>fac_Arancel</t>
  </si>
  <si>
    <t>Factor de ajuste de</t>
  </si>
  <si>
    <t>G</t>
  </si>
  <si>
    <t>F</t>
  </si>
  <si>
    <t>FyC</t>
  </si>
  <si>
    <t>C</t>
  </si>
  <si>
    <t>Suministro/
Montaje</t>
  </si>
  <si>
    <t>ITEM</t>
  </si>
  <si>
    <t>DESCRIPCIÓN</t>
  </si>
  <si>
    <t>UNIDAD</t>
  </si>
  <si>
    <t>VALOR UNITARIO USD ref</t>
  </si>
  <si>
    <t>CANTIDAD unidades, (número, longitud, área, ó  peso)</t>
  </si>
  <si>
    <t>VALOR TOTAL USD ref</t>
  </si>
  <si>
    <t>%MN</t>
  </si>
  <si>
    <t>%MI</t>
  </si>
  <si>
    <t>%O</t>
  </si>
  <si>
    <t>%E</t>
  </si>
  <si>
    <t>Materiales Nacionales indexado USD</t>
  </si>
  <si>
    <t>Materiales Importados  indexados USD</t>
  </si>
  <si>
    <t>Mano de obra construccion indexado USD</t>
  </si>
  <si>
    <t>Equipos de obra construcción indexado USD</t>
  </si>
  <si>
    <t>indexación materiales nacionales</t>
  </si>
  <si>
    <t>indexación materiales importados</t>
  </si>
  <si>
    <t>Indexación Mano de obra</t>
  </si>
  <si>
    <t>indexación equipos construcción</t>
  </si>
  <si>
    <t>Materiales Nacionales USD 2024</t>
  </si>
  <si>
    <t>Materiales Importados USD 2024</t>
  </si>
  <si>
    <t>Mano de obra construcción USD 2024</t>
  </si>
  <si>
    <t>Equipos de obra construcción USD 2024</t>
  </si>
  <si>
    <t>ACTIVIDADES GENERALES</t>
  </si>
  <si>
    <t>1.2</t>
  </si>
  <si>
    <t>LOCALIZACIÓN, TRAZADO Y REPLANTEO</t>
  </si>
  <si>
    <t>Metro cuadrado</t>
  </si>
  <si>
    <t>1.5</t>
  </si>
  <si>
    <t>SOPORTE TERRESTRE MOVILIZACIÓN DE EQUIPOS Y MATERIALES</t>
  </si>
  <si>
    <t>Tonelada-Kilómetro</t>
  </si>
  <si>
    <t>SUMINISTRO DE MATERIALES</t>
  </si>
  <si>
    <t>Suministro</t>
  </si>
  <si>
    <t>LAMINA TANQUE</t>
  </si>
  <si>
    <t>Kilogramo</t>
  </si>
  <si>
    <t xml:space="preserve">TUBERIA  TANQUES </t>
  </si>
  <si>
    <t xml:space="preserve">ACCESORIOS TANQUES </t>
  </si>
  <si>
    <t>PERFILES ESTRUCTURALES</t>
  </si>
  <si>
    <t>TORNILLERIA</t>
  </si>
  <si>
    <t>TECHO DOMO EN ALUMINIO</t>
  </si>
  <si>
    <t>VALVULAS TANQUE&gt;2"</t>
  </si>
  <si>
    <t>VALVULAS TANQUE&lt;2"</t>
  </si>
  <si>
    <t>VALVULAS DE PRESION Y VACIO 4"</t>
  </si>
  <si>
    <t>Unidad</t>
  </si>
  <si>
    <t>SELLO METALICO PARA TANQUES TECHO FLOTANTE</t>
  </si>
  <si>
    <t>Metro</t>
  </si>
  <si>
    <t>CAMARAS DE ESPUMA</t>
  </si>
  <si>
    <t>PUESTA A TIERRA RETRACTIL TANQUES FLOTANTES</t>
  </si>
  <si>
    <t>ESCOTILLA DE MEDICION</t>
  </si>
  <si>
    <t>UNIONES FLEXIBLES TIPO PIVOT DRENAJE PARA TECHOS FLOTANTES</t>
  </si>
  <si>
    <t>SISTEMA DETECCION DE CALOR TECHO FLOTANTE (LHD)</t>
  </si>
  <si>
    <t>BOQUILLAS DE ENFRIAMIENTO</t>
  </si>
  <si>
    <t>SISTEMA MONITOREO DE CORROSION</t>
  </si>
  <si>
    <t>MEMBRANA FLOTANTE EN ALUMINIO</t>
  </si>
  <si>
    <t xml:space="preserve">ACTIVIDADES ESPECIALIDAD CIVIL </t>
  </si>
  <si>
    <t>MOVIMIENTO DE TIERRAS Y EXCAVACIONES</t>
  </si>
  <si>
    <t>Montaje</t>
  </si>
  <si>
    <t>4.1.1</t>
  </si>
  <si>
    <t>EXCAVACION PARA CONFORMACION DEL TERRENO</t>
  </si>
  <si>
    <t>4.1.2</t>
  </si>
  <si>
    <t>EXCAVACION BASE CIMENTACION TANQUE</t>
  </si>
  <si>
    <t>Metro cúbico</t>
  </si>
  <si>
    <t>4.1.3</t>
  </si>
  <si>
    <t>EXCAVACION ANILLO Y DIQUE DE CONCRETO</t>
  </si>
  <si>
    <t>4.1.4</t>
  </si>
  <si>
    <t>EXCAVACION PARA CUNETAS Y ESTRUCTURAS DE CONCRETO</t>
  </si>
  <si>
    <t>4.1.5</t>
  </si>
  <si>
    <t>TRANSPORTE DE MATERIAL DE EXCAVACACIÓN A SITIO AUTORIZADO DE ACOPIO (DISTANCIA MAXIMA 3 Km)</t>
  </si>
  <si>
    <t xml:space="preserve">SUMINISTRO, NIVELACION, CONFORMADO Y COMPACTACION DE RELLENOS </t>
  </si>
  <si>
    <t>4,2,1</t>
  </si>
  <si>
    <t>RELLENO SELECCIONADO BASE CIMENTACION TANQUE</t>
  </si>
  <si>
    <t>4,2,2</t>
  </si>
  <si>
    <t xml:space="preserve">RELLENO CON MATERIAL DE EXCAVACION </t>
  </si>
  <si>
    <t>4,2,3</t>
  </si>
  <si>
    <t>RELLENO (SUB BASE GRANULAR) DENTRO BASE CIMENTACION TANQUE</t>
  </si>
  <si>
    <t>4,2,4</t>
  </si>
  <si>
    <t>RELLENO (ARENA) DENTRO BASE CIMENTACION TANQUE</t>
  </si>
  <si>
    <t>4,2,5</t>
  </si>
  <si>
    <t>RELLENO (SUB BASE GRANULAR) PATIO TANQUE</t>
  </si>
  <si>
    <t xml:space="preserve">PREPARACIÓN, SUMINISTRO E INSTALACIÓN  DE CONCRETO </t>
  </si>
  <si>
    <t>4,3,1</t>
  </si>
  <si>
    <t>CONCRETO ESTRUCTURAL (210 kg/cm2 Ó 3000 psi) ANILLO DE CONCRETO</t>
  </si>
  <si>
    <t>4,3,2</t>
  </si>
  <si>
    <t>CONCRETO ESTRUCTURAL (210 kg/cm2 Ó 3000 psi) DIQUES DE CONCRETO</t>
  </si>
  <si>
    <t>4,3,3</t>
  </si>
  <si>
    <t>CONCRETO  (210 kg/cm2 Ó 3000 psi) PISOS PATIOS E= 10 CM.</t>
  </si>
  <si>
    <t>4,3,4</t>
  </si>
  <si>
    <t>CONCRETO ESTRUCTURAL (210 kg/cm2 Ó 3000 psi) SOPORTES DE CONCRETO Y OTROS</t>
  </si>
  <si>
    <t>4,3,5</t>
  </si>
  <si>
    <t>CONCRETO (175 kg/cm2 Ó 2500 psi) CUNETAS</t>
  </si>
  <si>
    <t>4,3,6</t>
  </si>
  <si>
    <t>CONCRETO CON MINERAL ROJO (175 kg/cm2 Ó 2500 psi)</t>
  </si>
  <si>
    <t>4,3,7</t>
  </si>
  <si>
    <t>CAJAS DE INSPECCION</t>
  </si>
  <si>
    <t>4,3,8</t>
  </si>
  <si>
    <t>CAJA DE VALVULAS</t>
  </si>
  <si>
    <t>4,3,9</t>
  </si>
  <si>
    <t>CONCRETO  DE LIMPIEZA (105 kg/cm2 Ó 1500 psi)</t>
  </si>
  <si>
    <t>4,3,10</t>
  </si>
  <si>
    <t>JUNTA DE DILATACION</t>
  </si>
  <si>
    <t>SUMINISTRO E INSTALACION DE ACEROS DE REFUERZO PARA CONCRETO ESTRUCTURAL</t>
  </si>
  <si>
    <t>4,4,1</t>
  </si>
  <si>
    <t>ACERO DE REFUERZO</t>
  </si>
  <si>
    <t>4,4,2</t>
  </si>
  <si>
    <t xml:space="preserve">MALLA ELECTROSOLDADA </t>
  </si>
  <si>
    <t>SUMINISTRO E INSTALACION DE ESTRUCTURAS METÁLICAS</t>
  </si>
  <si>
    <t>4,5,1</t>
  </si>
  <si>
    <t xml:space="preserve">ESTRUCTURA METÁLICA MISCELÁNEOS </t>
  </si>
  <si>
    <t>SUMINISTRO E INSTALACIÓN DE GEOMEMBRANA GEOTEXTILES</t>
  </si>
  <si>
    <t>4,6,1</t>
  </si>
  <si>
    <t xml:space="preserve">GEOMEMBRANA HDPE DE 40 MILS </t>
  </si>
  <si>
    <t>4,6,2</t>
  </si>
  <si>
    <t xml:space="preserve">GEOTEXTIL NO TEJIDO NT-1600 </t>
  </si>
  <si>
    <t xml:space="preserve">PREFABRICACION Y MONTAJE  METALMECANICA  DEL TANQUE  </t>
  </si>
  <si>
    <t>PREFABRICACION Y MONTAJE TANQUE</t>
  </si>
  <si>
    <t>5.2</t>
  </si>
  <si>
    <t>MONTAJE TECHO DOMO</t>
  </si>
  <si>
    <t>MONTAJE MEMBRANA FLOTANTE EN ALUMINIO</t>
  </si>
  <si>
    <t>INSTALACION SELLO METALICO PARA TANQUES TECHO FLOTANTE</t>
  </si>
  <si>
    <t>5.3</t>
  </si>
  <si>
    <t>INSTALACION PUESTA A TIERRA RETRACTIL TANQUES FLOTANTES</t>
  </si>
  <si>
    <t>5.5</t>
  </si>
  <si>
    <t>INSTALACION UNIONES FLEXIBLES TIPO PIVOT DRENAJE PARA TECHOS FLOTANTES</t>
  </si>
  <si>
    <t>5.6</t>
  </si>
  <si>
    <t>INSTALACION SISTEMA DETECCION DE CALOR TECHO FLOTANTE (LHD)</t>
  </si>
  <si>
    <t>5.7</t>
  </si>
  <si>
    <t>INSTALACION VALVULAS DE PRESION Y VACIO 4"</t>
  </si>
  <si>
    <t>5.8</t>
  </si>
  <si>
    <t>INSTALACIÓN ESCOTILLA DE MEDICIÓN DE 6" A 10"</t>
  </si>
  <si>
    <t>5.9</t>
  </si>
  <si>
    <t xml:space="preserve">INSTALACIÓN PLACA METALICA </t>
  </si>
  <si>
    <t>5.10</t>
  </si>
  <si>
    <t xml:space="preserve">INSTALACIÓN VALLA INFORMATIVA </t>
  </si>
  <si>
    <t>5.11</t>
  </si>
  <si>
    <t xml:space="preserve">SUMINISTROS, PREPARACIÓN DE SUPERFICIE Y PINTURA EXTERNA CON GRANALLADO </t>
  </si>
  <si>
    <t>5.12</t>
  </si>
  <si>
    <t xml:space="preserve">SUMINISTROS, PREPARACIÓN DE SUPERFICIE Y PINTURA INTERNA CON GRANALLADO </t>
  </si>
  <si>
    <t>5.13</t>
  </si>
  <si>
    <t>PRUEBA HIDROSTÁTICA</t>
  </si>
  <si>
    <t>Global</t>
  </si>
  <si>
    <t>5.14</t>
  </si>
  <si>
    <t>MARCACIÓN DEL TANQUE</t>
  </si>
  <si>
    <t xml:space="preserve">INSTRUMENTACIÓN </t>
  </si>
  <si>
    <t>6.1</t>
  </si>
  <si>
    <t>SUMINISTRO Y MONTAJE DE INTERRUPTOR DE NIVEL TIPO FLOTADOR</t>
  </si>
  <si>
    <t>6.2</t>
  </si>
  <si>
    <t>SUMINISTRO Y MONTAJE SISTEMA AUTOMATICO DE MEDICIÓN EN TANQUES. (TELEMETRÍA)</t>
  </si>
  <si>
    <t xml:space="preserve">SUMINISTRO Y MONTAJE DE INTERRUPTOR DE NIVEL </t>
  </si>
  <si>
    <t>SUMINISTRO Y MONTAJE SISTEMA RADAR</t>
  </si>
  <si>
    <t>SUMINISTRO E INSTALACION DE CABLES DE INSTRUMENTACIÓN Y COMUNICACIONES.</t>
  </si>
  <si>
    <t>6,3,1</t>
  </si>
  <si>
    <t xml:space="preserve">SUMINISTRO E INSTALACIÓN CABLE MULTICONDUCTOR 300V 1X2X16 AWG + SH, </t>
  </si>
  <si>
    <t>6,3,2</t>
  </si>
  <si>
    <t>SUMINISTRO E INSTALACIÓN CABLE DE INSTRUMENTACIÓN, 1X1PARX18AWG (FOUNDATION FIELDBUS)</t>
  </si>
  <si>
    <t>6.3.3</t>
  </si>
  <si>
    <t xml:space="preserve">SUMINISTRO E INSTALACIÓN DE CABLE DE COMUNICACIÓN 1X2X16AWG +SHD 600V, TIPO BELDEN REFERENCIA 8719 </t>
  </si>
  <si>
    <t>TUBERÍAS DE INTERCONEXION</t>
  </si>
  <si>
    <t>SUMINISTROS, PREFABRICACION Y MONTAJE DE TUBERIAS</t>
  </si>
  <si>
    <t>7,1.1</t>
  </si>
  <si>
    <t>SUMINISTRO DE TUBERIA &lt; 2"</t>
  </si>
  <si>
    <t>7,1.2</t>
  </si>
  <si>
    <t>SUMINISTRO DE TUBERIA &gt; 2"</t>
  </si>
  <si>
    <t>7,1.3</t>
  </si>
  <si>
    <t>SUMINISTRO DE ACCESORIOS &lt; 2"</t>
  </si>
  <si>
    <t>7,1.4</t>
  </si>
  <si>
    <t>SUMINISTRO DE ACCESORIOS &gt; 2"</t>
  </si>
  <si>
    <t>7,1.5</t>
  </si>
  <si>
    <t>MONTAJE TUBERÍA Y  ACCESORIOS, &lt; 2"</t>
  </si>
  <si>
    <t>7,1.6</t>
  </si>
  <si>
    <t>MONTAJE, TUBERIA  AEREA  Y ACCESORIOS &gt; 2"</t>
  </si>
  <si>
    <t>7,1.7</t>
  </si>
  <si>
    <t>MONTAJE VALVULAS &lt; 2"</t>
  </si>
  <si>
    <t>7,1.8</t>
  </si>
  <si>
    <t>MONTAJE VALVULAS&gt;  2"</t>
  </si>
  <si>
    <t>7,1.9</t>
  </si>
  <si>
    <t>MONTAJE DISPOSITIVO MONITOREO CORROSION INTERNA</t>
  </si>
  <si>
    <t>PRUEBAS Y ENSAYOS NO DESTRUCTIVOS</t>
  </si>
  <si>
    <t>7,4.1</t>
  </si>
  <si>
    <t>PRUEBA HIDROSTÁTICA DE TUBERÍA DE DIÁMETROS &lt; 2"</t>
  </si>
  <si>
    <t>7,4.2</t>
  </si>
  <si>
    <t>PRUEBA HIDROSTÁTICA DE TUBERÍA DE DIÁMETROS  &gt; 2"</t>
  </si>
  <si>
    <t>PINTURA DE TUBERIAS</t>
  </si>
  <si>
    <t>7,5.1</t>
  </si>
  <si>
    <t>SUMINISTRO,PREPARACIÓN DE SUPERFICIE EXTERNA Y PINTURA DE TUBERIAS AEREAS</t>
  </si>
  <si>
    <t>MONTAJE DE ACCESORIOS ESPECIALES</t>
  </si>
  <si>
    <t>7,6.1</t>
  </si>
  <si>
    <t xml:space="preserve">SUMINISTRO E INSTALACIÓN DE KIT DE AISLAMIENTO PARA TUBERÍAS DE DIÁMETROS MENORES A  2” </t>
  </si>
  <si>
    <t>7,6.2</t>
  </si>
  <si>
    <t>SUMINISTRO E INSTALACIÓN DE KIT DE AISLAMIENTO PARA TUBERÍAS DE DIÁMETROS ENTRE  2" - 6"</t>
  </si>
  <si>
    <t>7,6.3</t>
  </si>
  <si>
    <t xml:space="preserve">SUMINISTRO E INSTALACIÓN DE KIT DE AISLAMIENTO PARA TUBERÍAS DE DIÁMETROS ENTRE  8" -16" </t>
  </si>
  <si>
    <t>7,6.4</t>
  </si>
  <si>
    <t xml:space="preserve">SUMINISTRO E INSTALACIÓN DE KIT DE AISLAMIENTO PARA TUBERÍAS DE DIÁMETROS ENTRE  20" -30" </t>
  </si>
  <si>
    <t>SUMINISTRO, PREFABRICACIÓN Y MONTAJE DE SOPORTES  METÁLICOS PARA TUBERÍA</t>
  </si>
  <si>
    <t>7,7.1</t>
  </si>
  <si>
    <t>7,7.2</t>
  </si>
  <si>
    <t>SUMINISTRO,PREPARACIÓN DE SUPERFICIE EXTERNA Y PINTURA DE SOPORTES</t>
  </si>
  <si>
    <t>ESPECIALIDAD ELÉCTRICA</t>
  </si>
  <si>
    <t>SUMINISTRO E INSTALACIÓN ELECTRICAS</t>
  </si>
  <si>
    <t>INSPECCIÓN Y CERTIFICACIÓN RETIE</t>
  </si>
  <si>
    <t>PROTECCIÓN CATÓDICA</t>
  </si>
  <si>
    <t>SISTEMA DE  PROTECCION CATODICA</t>
  </si>
  <si>
    <t>SISTEMA CONTRAINCENDIO</t>
  </si>
  <si>
    <t>MONTAJE CAMARA ESPUMA</t>
  </si>
  <si>
    <t>MONTAJE BOQUILLA DE ENFRIAMIENTO</t>
  </si>
  <si>
    <t>PILOTAJE</t>
  </si>
  <si>
    <t>INSTALACION DE PILOTES</t>
  </si>
  <si>
    <t>VALOR UNITARIO $COL</t>
  </si>
  <si>
    <t>VALOR UNITARIO $US_ref</t>
  </si>
  <si>
    <t>Barril</t>
  </si>
  <si>
    <t>TOTAL SUMINISTRO, PREFABRICACIÓN Y MONTAJE DE SOPORTES  METÁLICOS PARA TUBERÍA</t>
  </si>
  <si>
    <t>UND</t>
  </si>
  <si>
    <t>CANT</t>
  </si>
  <si>
    <t>VALOR  UNITARIO</t>
  </si>
  <si>
    <t>VALOR TOTAL</t>
  </si>
  <si>
    <t>INSPECCIÓN API</t>
  </si>
  <si>
    <t>MOVILIZACIÓN Y DESMOVILIZACIÓN E INSTALACIONES TEMPORALES )</t>
  </si>
  <si>
    <t>Posicionamiento soportes techo flotante.</t>
  </si>
  <si>
    <t xml:space="preserve">SUMINISTROS MENORES Y MONTAJE DE MATERIALES Y EQUIPOS TANQUE </t>
  </si>
  <si>
    <t>ACHIQUE</t>
  </si>
  <si>
    <t xml:space="preserve">Achique de tanque almacenamiento </t>
  </si>
  <si>
    <t>DESGASIFICACION</t>
  </si>
  <si>
    <t>Desgasificación  de tanque  ( Incluye equipos neumáticos para desgasificacion)  y el retiro e instalación de líneas</t>
  </si>
  <si>
    <t>Fluidización de borras  con tanque abierto. ( Incluye producto quimico dispersante para tratamiento y equipos y accesorios para trasiego a 500 mts ).</t>
  </si>
  <si>
    <t xml:space="preserve">LAVADO </t>
  </si>
  <si>
    <t>Retiro y transporte de borras crudos y combustóleos (Recipientes cerrados ubicados en dique temporalmente.)</t>
  </si>
  <si>
    <t>Transporte de borras a planta de tratamiento ( incluye certificado de disposicion de residuos).</t>
  </si>
  <si>
    <t>Lavado y limpieza interna de tanque</t>
  </si>
  <si>
    <t>OBRAS ESPECIALIDAD CIVIL &amp; ESTRUCTURAL MENORES</t>
  </si>
  <si>
    <t xml:space="preserve">OBRAS MENORES DE TUBERIA Y METALMECANICAS </t>
  </si>
  <si>
    <t xml:space="preserve">Preparación de superficie interna con  Granallado y pintura incluye materiales </t>
  </si>
  <si>
    <t xml:space="preserve">Preparación de superficie externa con  Granallado y pintura incluye materiales </t>
  </si>
  <si>
    <t>Marcación del tanque:</t>
  </si>
  <si>
    <t>Mantenimiento y calibración al sistema de protección catódica</t>
  </si>
  <si>
    <t>SUBTOTAL COSTO DIRECTO ($)</t>
  </si>
  <si>
    <t>SUBTOTAL COSTO DIRECTO (US)</t>
  </si>
  <si>
    <t>AIU (25% US)</t>
  </si>
  <si>
    <t xml:space="preserve">SUBTOTAL (SIN INCLUIR IVA US) </t>
  </si>
  <si>
    <t>IVA (US)</t>
  </si>
  <si>
    <t>TOTAL  CON IVA (US)</t>
  </si>
  <si>
    <t>MATERIALES TANQUE BASE</t>
  </si>
  <si>
    <t>FACTORES DE AJUSTE PARA EL TANQUE SELECCIONADO</t>
  </si>
  <si>
    <t>MATERIALES TANQUE SELECCIONADO</t>
  </si>
  <si>
    <t>PRECIOS TANQUE BASE</t>
  </si>
  <si>
    <t>PRECIOS TANQUE SELECCIONADO</t>
  </si>
  <si>
    <t>ESTRUCTURA</t>
  </si>
  <si>
    <t>CANTIDAD</t>
  </si>
  <si>
    <t>LÁMINA (KG)</t>
  </si>
  <si>
    <t>TUBERÍA (KG)</t>
  </si>
  <si>
    <t>ACCESORIOS (KG)</t>
  </si>
  <si>
    <t>PERFILES (KG)</t>
  </si>
  <si>
    <t>TORNILLERÍA (KG)</t>
  </si>
  <si>
    <t>LÁMINA</t>
  </si>
  <si>
    <t xml:space="preserve">TUBERÍA </t>
  </si>
  <si>
    <t>ACCESORIOS</t>
  </si>
  <si>
    <t>PERFILES</t>
  </si>
  <si>
    <t>TORNILLERÍA</t>
  </si>
  <si>
    <t>FACTOR DETERMINANTE</t>
  </si>
  <si>
    <t>TUBERÍA</t>
  </si>
  <si>
    <t>ANGULO BOCEL (3" X 3"X3/8") PESO 11,4 KG/M</t>
  </si>
  <si>
    <t>DIAMETRO</t>
  </si>
  <si>
    <t>ESCALERA HELICOIDAL</t>
  </si>
  <si>
    <t>ALTURA</t>
  </si>
  <si>
    <t>PLATAFORMA</t>
  </si>
  <si>
    <t>VIGA CONTRAVIENTO</t>
  </si>
  <si>
    <t>TAPA INFERIOR TECHO</t>
  </si>
  <si>
    <t>TAPA SUPERIOR TECHO</t>
  </si>
  <si>
    <t>INTERNOS TECHO</t>
  </si>
  <si>
    <t>MANHOLES PONTON</t>
  </si>
  <si>
    <t>PESO TOTAL TECHO</t>
  </si>
  <si>
    <t>AREA</t>
  </si>
  <si>
    <t>ESCALERA RODANTE</t>
  </si>
  <si>
    <t>SOPORTES DE TECHO</t>
  </si>
  <si>
    <t>DRENAJE DE TECHO</t>
  </si>
  <si>
    <t>BARANDA PERIMETRAL TECHO</t>
  </si>
  <si>
    <t>DIQUE DE ESPUMA</t>
  </si>
  <si>
    <t>ANILLO DE ESPUMA</t>
  </si>
  <si>
    <t>ANILLO DE REFRIGERACION</t>
  </si>
  <si>
    <t>PUERTA DE LIMPIEZA</t>
  </si>
  <si>
    <t>DRENAJE SUMIDERO</t>
  </si>
  <si>
    <t>MANHOLE 24" CUERPO</t>
  </si>
  <si>
    <t>MANHOLE DE TECHO</t>
  </si>
  <si>
    <t>TUBO GUIA</t>
  </si>
  <si>
    <t>CONEXIONES DE CUERPO</t>
  </si>
  <si>
    <t>CONEXIONES DE TECHO</t>
  </si>
  <si>
    <t>VENTEO AUTOMATICO Y DRENAJE EMERGENCIA</t>
  </si>
  <si>
    <t>CONEXIONES DE TECHO CÓNICO</t>
  </si>
  <si>
    <t>ESTRUCTURA DE TECHO CÓNICO</t>
  </si>
  <si>
    <t>TOTAL TANQUE</t>
  </si>
  <si>
    <t>TOTAL TANQUE CON DESPERDICIO</t>
  </si>
  <si>
    <t>Dólares/Kg</t>
  </si>
  <si>
    <t>Lámina del cilindro principal (Kg)</t>
  </si>
  <si>
    <t>Lámina otros componentes (Kg)</t>
  </si>
  <si>
    <t>TOTALES</t>
  </si>
  <si>
    <t>Fondo</t>
  </si>
  <si>
    <t>Cuerpo</t>
  </si>
  <si>
    <t>Techo</t>
  </si>
  <si>
    <t>Lámina (Kg)</t>
  </si>
  <si>
    <t>Tubería (Kg)</t>
  </si>
  <si>
    <t>Accesorios (Kg)</t>
  </si>
  <si>
    <t>Perfiles (Kg)</t>
  </si>
  <si>
    <t>Tornillería (Kg)</t>
  </si>
  <si>
    <t>TIPO DE MATERIAL</t>
  </si>
  <si>
    <t>DESCRIPCION MATERIALES</t>
  </si>
  <si>
    <t>CALIDAD</t>
  </si>
  <si>
    <t>ANCHO (MT)</t>
  </si>
  <si>
    <t>LARGO (MT)</t>
  </si>
  <si>
    <t>AREA PARA ELEMENTOS CIRCULARES</t>
  </si>
  <si>
    <t>PESO UNIT (Kg/UNIDAD)</t>
  </si>
  <si>
    <t>CANT.</t>
  </si>
  <si>
    <t>PESO TOTAL (Kg)</t>
  </si>
  <si>
    <t>LÁMINA    (Kg)</t>
  </si>
  <si>
    <t>TUBERÍA (Kg)</t>
  </si>
  <si>
    <t>ACCESORIOS  (Kg)</t>
  </si>
  <si>
    <t>PERFIL  (Kg)</t>
  </si>
  <si>
    <t>TORNILLERÍA  (Kg)</t>
  </si>
  <si>
    <t>PRECIO POR UNIDAD (US/UNIDAD)</t>
  </si>
  <si>
    <t>PRECIO POR KG (US/KG)</t>
  </si>
  <si>
    <t>PRECIO TOTAL (US)</t>
  </si>
  <si>
    <t>Nal/Imp</t>
  </si>
  <si>
    <t>Lámina</t>
  </si>
  <si>
    <t>Lamina 3/8"</t>
  </si>
  <si>
    <t>A-36</t>
  </si>
  <si>
    <t>Importado</t>
  </si>
  <si>
    <t>Perfil</t>
  </si>
  <si>
    <t>Angulo 3" x 5/16"</t>
  </si>
  <si>
    <t>Tapa sello en lamina 1/4" x Dia 1 1/2"</t>
  </si>
  <si>
    <t>Tornillería</t>
  </si>
  <si>
    <t>Perno Hilti 5/8" x 6"</t>
  </si>
  <si>
    <t>GR. 5</t>
  </si>
  <si>
    <t>Nacional</t>
  </si>
  <si>
    <t>Grapas para amarres de rejilla</t>
  </si>
  <si>
    <t xml:space="preserve">Angulo 2 1/2" x 1/4" </t>
  </si>
  <si>
    <t>Angulo 4" x 5/16"</t>
  </si>
  <si>
    <t xml:space="preserve">Angulo 3" x 5/16" </t>
  </si>
  <si>
    <t>Tuerca de 1/2" Galvanizada</t>
  </si>
  <si>
    <t>Tornillo 1/2" x 1 1/2"</t>
  </si>
  <si>
    <t xml:space="preserve">Lamina 3/8" </t>
  </si>
  <si>
    <t>PLATINA 2" X 1/4"</t>
  </si>
  <si>
    <t>Tuerca de 5/8" Galvanizada</t>
  </si>
  <si>
    <t>Tornillo 5/8" x 1 1/2"</t>
  </si>
  <si>
    <t>Angulo 2 1/2" x 1/4"</t>
  </si>
  <si>
    <t>Canal 6" x 8.2</t>
  </si>
  <si>
    <t xml:space="preserve">Rejilla tipo T 1 1/4" x 3/16" </t>
  </si>
  <si>
    <t>Lamina 1/4"</t>
  </si>
  <si>
    <t>Tubería</t>
  </si>
  <si>
    <t xml:space="preserve">Tubo SCH 40 1 1/2" </t>
  </si>
  <si>
    <t>A-106 GRB</t>
  </si>
  <si>
    <t>Accesorio</t>
  </si>
  <si>
    <t xml:space="preserve">Codo 1 1/2" SCH 40 </t>
  </si>
  <si>
    <t xml:space="preserve">Codo  1/2" SCH 40 </t>
  </si>
  <si>
    <t>Tubo SCH 40 1 1/2" x 1/4"</t>
  </si>
  <si>
    <t>Tornillo 5/8" x 4 3/4"</t>
  </si>
  <si>
    <t>Tuerca de 1/2"</t>
  </si>
  <si>
    <t>Tornillo 1/2" x 1 3/4"</t>
  </si>
  <si>
    <t>Tornillo 5/16" x 3"</t>
  </si>
  <si>
    <t>Platina 1/4" X 2"</t>
  </si>
  <si>
    <t>Tapa 1/4" diam 48</t>
  </si>
  <si>
    <t>Angulo 3/8" x 4"</t>
  </si>
  <si>
    <t xml:space="preserve">Lamina 5/16" </t>
  </si>
  <si>
    <t>Tuerca de 5/8"</t>
  </si>
  <si>
    <t>Tornillo 5/8" x  1 3/4"</t>
  </si>
  <si>
    <t>Angulo 3/8" x 6"</t>
  </si>
  <si>
    <t>Platina 1/4" X 6"</t>
  </si>
  <si>
    <t>Codo 1 1/2" SCH 40 RL</t>
  </si>
  <si>
    <t>Angulo 1/4" x 2"</t>
  </si>
  <si>
    <t>Angulo 5/16"" x 3"</t>
  </si>
  <si>
    <t>Angulo 1/4"" x 2 1/2"</t>
  </si>
  <si>
    <t>Platina 4" X 1/4"</t>
  </si>
  <si>
    <t>Platina 2" X 1/4"</t>
  </si>
  <si>
    <t>Angulo 4" x 1/4"</t>
  </si>
  <si>
    <t>Platina 4" X 3/8"</t>
  </si>
  <si>
    <t>Angulo 4" x 3/8"</t>
  </si>
  <si>
    <t>Tuerca 3/4"</t>
  </si>
  <si>
    <t>Esparragos 3/4" x 4"</t>
  </si>
  <si>
    <t>Angulo 6" x 1/2"</t>
  </si>
  <si>
    <t>Brida 2" x 150#</t>
  </si>
  <si>
    <t xml:space="preserve">Tubo 2" SCH 40 </t>
  </si>
  <si>
    <t>Brida 2" SOFF 150#</t>
  </si>
  <si>
    <t xml:space="preserve">Tubo 8" SCH 40 </t>
  </si>
  <si>
    <t>Tubo 20" SCH STD</t>
  </si>
  <si>
    <t>Tornilllo y tuerca 1/2" x 2 1/2"</t>
  </si>
  <si>
    <t>Platina 1 1/2"</t>
  </si>
  <si>
    <t>Platina 2 1/2"</t>
  </si>
  <si>
    <t>Lamina 6 mm</t>
  </si>
  <si>
    <t>Angulo 3" x 3/8"</t>
  </si>
  <si>
    <t>Lamina 1/2"</t>
  </si>
  <si>
    <t>Lamina 1"</t>
  </si>
  <si>
    <t>Lamina  ENTERAS - 6 mm</t>
  </si>
  <si>
    <t>Platina 3/16" x 1/2"</t>
  </si>
  <si>
    <t>Codo 1" SCH STD 180</t>
  </si>
  <si>
    <t>Tubo 1" SCH STD x 54</t>
  </si>
  <si>
    <t xml:space="preserve">Empaque </t>
  </si>
  <si>
    <t>Lamina 3/16"</t>
  </si>
  <si>
    <t>Tuerca y contratuerca 1/2"</t>
  </si>
  <si>
    <t>Tornillo 1/2" x 2 1/2"</t>
  </si>
  <si>
    <t>Platina 1 1/2" x 3/16"</t>
  </si>
  <si>
    <t>Barra 3 1/2"</t>
  </si>
  <si>
    <t>Lamina 2"</t>
  </si>
  <si>
    <t>Pin de aleta 1/4"</t>
  </si>
  <si>
    <t>Platina 3 1/2" x 1/4"</t>
  </si>
  <si>
    <t>Platina 3" x 1/4"</t>
  </si>
  <si>
    <t>Tubo 2" SCH 80</t>
  </si>
  <si>
    <t>Varilla 3/4"</t>
  </si>
  <si>
    <t>Platina 2" x 1/4"</t>
  </si>
  <si>
    <t>Tuerca 1"</t>
  </si>
  <si>
    <t>Varilla 1"</t>
  </si>
  <si>
    <t>Tuerca 1/2"</t>
  </si>
  <si>
    <t>Tornillo de 1/2 x 2 1/2"</t>
  </si>
  <si>
    <t>Platina 1 1/2" x 3/8"</t>
  </si>
  <si>
    <t>Angulo 2" x 1/4"</t>
  </si>
  <si>
    <t>UPN 80</t>
  </si>
  <si>
    <t>UPN 140</t>
  </si>
  <si>
    <t>Angulo 4" x 1/2"</t>
  </si>
  <si>
    <t>UPN 100</t>
  </si>
  <si>
    <t>Rejilla de 1" x 3/16"</t>
  </si>
  <si>
    <t>Angulo 1 1/4" x 3/16"</t>
  </si>
  <si>
    <t>Angulo 2 x 3/16"</t>
  </si>
  <si>
    <t xml:space="preserve">Lamina 1/4" </t>
  </si>
  <si>
    <t>IPE 160</t>
  </si>
  <si>
    <t>Pin 1/4"</t>
  </si>
  <si>
    <t>Varilla 1/4"</t>
  </si>
  <si>
    <t>Varilla1  1/2"</t>
  </si>
  <si>
    <t>Varilla 3/8"</t>
  </si>
  <si>
    <t>Tubo 4" SCH XS</t>
  </si>
  <si>
    <t>Tubo 3" SCH 80</t>
  </si>
  <si>
    <t>Tuerca3/4"</t>
  </si>
  <si>
    <t>Esparrago 3/4" x 4 1/2"</t>
  </si>
  <si>
    <t>Platina 1" x 3/16</t>
  </si>
  <si>
    <t>Tuerca 5/8"</t>
  </si>
  <si>
    <t>Varilla 5/8"</t>
  </si>
  <si>
    <t>Lamina 5/16"</t>
  </si>
  <si>
    <t>Tubo 8" SCH STD</t>
  </si>
  <si>
    <t>Codo 8" SCH 40 RL</t>
  </si>
  <si>
    <t>Empaque 1/8"</t>
  </si>
  <si>
    <t>Brida 8" 150#</t>
  </si>
  <si>
    <t>Weldell 6" STD</t>
  </si>
  <si>
    <t>ASTM A234</t>
  </si>
  <si>
    <t>Angulo 3" x 1/4""</t>
  </si>
  <si>
    <t>Lamina 1/8"</t>
  </si>
  <si>
    <t>Abrazadera tubo</t>
  </si>
  <si>
    <t>Tubo 6" SCH STD</t>
  </si>
  <si>
    <t>Esparrago 5/8" x 4"</t>
  </si>
  <si>
    <t>Empaque no asbesto</t>
  </si>
  <si>
    <t>Brida 2 1/2" SOFF 150#</t>
  </si>
  <si>
    <t>Tubo 2 1/2" SCH STD</t>
  </si>
  <si>
    <t>Codo 2 1/2" SCH STD</t>
  </si>
  <si>
    <t>Tee recta 2 1/2" SCH STD</t>
  </si>
  <si>
    <t>Reduccion concentrica 4" x 2 1/2"</t>
  </si>
  <si>
    <t>Tee recta 4" SCH STD</t>
  </si>
  <si>
    <t>Tubo 4" SCH STD</t>
  </si>
  <si>
    <t>Codo 4" SCH STD RL</t>
  </si>
  <si>
    <t>Brida 4" SOFF 150#</t>
  </si>
  <si>
    <t>Lamina 3/4"</t>
  </si>
  <si>
    <t>Esparragos 1" x 5 1/4"</t>
  </si>
  <si>
    <t>Lamina 1 5/16"</t>
  </si>
  <si>
    <t>Lamina 1 1/4"</t>
  </si>
  <si>
    <t>Pin de aletas 1/4" x 90</t>
  </si>
  <si>
    <t>lamina 3/8"</t>
  </si>
  <si>
    <t>Tubo SCH 160 x 2" x 1860</t>
  </si>
  <si>
    <t xml:space="preserve">Tubo SCH 40 2 1/2" </t>
  </si>
  <si>
    <t>Tubo 4" SCH 80</t>
  </si>
  <si>
    <t>Brida 4" SCH 40</t>
  </si>
  <si>
    <t>Tubo 4" SCH 40</t>
  </si>
  <si>
    <t>Codo4" SCH 40</t>
  </si>
  <si>
    <t>Esparragos 3/4" x 3 1/2"</t>
  </si>
  <si>
    <t>Lamina 5/8"</t>
  </si>
  <si>
    <t>Varilla de 5/8</t>
  </si>
  <si>
    <t>Tuerca 5/16"</t>
  </si>
  <si>
    <t>Lamina 7/8"</t>
  </si>
  <si>
    <t>Tornillo 5/8" x 3 1/2"</t>
  </si>
  <si>
    <t>Tubo 2 1/2" SCH 160</t>
  </si>
  <si>
    <t>Varilla 1/2"</t>
  </si>
  <si>
    <t>Platina 3" x 3/8"</t>
  </si>
  <si>
    <t>Tornillo 1/2" x 2"</t>
  </si>
  <si>
    <t>Varilla 2"</t>
  </si>
  <si>
    <t>Tubo 1 1/2" SCH 80</t>
  </si>
  <si>
    <t>Tubo 24" SCH STD</t>
  </si>
  <si>
    <t>Tubo 1 1/2"" SCH 80</t>
  </si>
  <si>
    <t>Brida 3" 150 #</t>
  </si>
  <si>
    <t>Brida 8" 150 #</t>
  </si>
  <si>
    <t>Tubo 8" SCH 80</t>
  </si>
  <si>
    <t>Brida 2" 150 #</t>
  </si>
  <si>
    <t>Brida 24" 150 # ciega</t>
  </si>
  <si>
    <t>Tuerca 1 1/4"</t>
  </si>
  <si>
    <t>Esparrago 1 1/4" x 7 1/2"</t>
  </si>
  <si>
    <t>Empaque 24" 150#</t>
  </si>
  <si>
    <t>Brida 24" 150 #</t>
  </si>
  <si>
    <t>Tubo 24" SCH XS</t>
  </si>
  <si>
    <t>Brida 30" 150 #</t>
  </si>
  <si>
    <t>Tubo 8" SCH 30</t>
  </si>
  <si>
    <t>Union 6" 800#</t>
  </si>
  <si>
    <t>Tubo 6" SCH 80</t>
  </si>
  <si>
    <t>Tubo 6" SCH 40</t>
  </si>
  <si>
    <t>Empaque en U</t>
  </si>
  <si>
    <t>Tornillo 3/8" x 2 1/2"</t>
  </si>
  <si>
    <t>Buje diam 77</t>
  </si>
  <si>
    <t>Tubo 3" SCH STD</t>
  </si>
  <si>
    <t>Platina 1 1/2" x 1/4"</t>
  </si>
  <si>
    <t>Tubo 10" SCH 40</t>
  </si>
  <si>
    <t>Pin de aleta 3/16"</t>
  </si>
  <si>
    <t>canal 6" x 8.2</t>
  </si>
  <si>
    <t>Platina 2" x 5/16"</t>
  </si>
  <si>
    <t xml:space="preserve">Lamina 1/2" </t>
  </si>
  <si>
    <t xml:space="preserve">Lamina 5/8" </t>
  </si>
  <si>
    <t>Angulo 3/8" x 1/4"</t>
  </si>
  <si>
    <t>canal 8" x 11,5</t>
  </si>
  <si>
    <t>Tornillos 1/2" X 1 1/2" + Tuerca</t>
  </si>
  <si>
    <t>Tubo 1 1/2" SCH 40</t>
  </si>
  <si>
    <t>Platina 6" x 1/4"</t>
  </si>
  <si>
    <t>Tubo 1 1/4" SCH 40</t>
  </si>
  <si>
    <t>Tornillos 5/8" X 1 1/2" + Tuerca</t>
  </si>
  <si>
    <t>Tornillo 5/8" x 2 1/2"</t>
  </si>
  <si>
    <t>GR 5</t>
  </si>
  <si>
    <t>A-234-WPB</t>
  </si>
  <si>
    <t>Brida SOFF 8" 150#</t>
  </si>
  <si>
    <t>A516 GR.70</t>
  </si>
  <si>
    <t>REGRESIÓN PRECIO MONTAJE TECHO GEODÉSICO</t>
  </si>
  <si>
    <t>REGRESIÓN COSTO DE MOVILIZACIÓN Y DESMOVILIZACIÓN E INSTALACIONES TEMPORALES PARA MANTENIMIENTO</t>
  </si>
  <si>
    <t>REGRESIÓN COSTO DE INSPECCIÓN API650</t>
  </si>
  <si>
    <t>Capacidad del tanque Bls</t>
  </si>
  <si>
    <t>AREA (M2)</t>
  </si>
  <si>
    <t>$</t>
  </si>
  <si>
    <t>CAPACIDAD</t>
  </si>
  <si>
    <t>CAPACIDAD
(Barriles)</t>
  </si>
  <si>
    <t>$COL</t>
  </si>
  <si>
    <t>Regression</t>
  </si>
  <si>
    <t>Regression Model</t>
  </si>
  <si>
    <t>Power</t>
  </si>
  <si>
    <t>R^2</t>
  </si>
  <si>
    <t>Standard Error</t>
  </si>
  <si>
    <t>Slope</t>
  </si>
  <si>
    <t>Intercept</t>
  </si>
  <si>
    <t>TANQUE TECHO FLOTANTE API650</t>
  </si>
  <si>
    <t>Espesores Tipicos</t>
  </si>
  <si>
    <t>6´x 20´</t>
  </si>
  <si>
    <t>8´x 20´</t>
  </si>
  <si>
    <t>Conversiónes</t>
  </si>
  <si>
    <t xml:space="preserve"> Tabla de
Materiales</t>
  </si>
  <si>
    <t>Sd Mpa</t>
  </si>
  <si>
    <t>Sd psi</t>
  </si>
  <si>
    <t>St Mpa</t>
  </si>
  <si>
    <t>St psi</t>
  </si>
  <si>
    <t>Pies Cubicos</t>
  </si>
  <si>
    <t>ft^3</t>
  </si>
  <si>
    <t>A-283 GrC</t>
  </si>
  <si>
    <t>Galones</t>
  </si>
  <si>
    <t>A-516 Gr70</t>
  </si>
  <si>
    <t>B</t>
  </si>
  <si>
    <t>Metros cubicos</t>
  </si>
  <si>
    <t>m^3</t>
  </si>
  <si>
    <t>Esquema</t>
  </si>
  <si>
    <t>Sistema</t>
  </si>
  <si>
    <t>Variables</t>
  </si>
  <si>
    <t>SI</t>
  </si>
  <si>
    <t>US</t>
  </si>
  <si>
    <t>(D)</t>
  </si>
  <si>
    <t xml:space="preserve">Diametro </t>
  </si>
  <si>
    <t>m</t>
  </si>
  <si>
    <t>Ft</t>
  </si>
  <si>
    <t>(H)</t>
  </si>
  <si>
    <t>Altura (H)</t>
  </si>
  <si>
    <t>(g)</t>
  </si>
  <si>
    <t>Gravedad especifica del Producto (g)</t>
  </si>
  <si>
    <t>(c.a.c)</t>
  </si>
  <si>
    <t>Corrosión Permitida Cuerpo</t>
  </si>
  <si>
    <t>mm</t>
  </si>
  <si>
    <t>In</t>
  </si>
  <si>
    <t>(c.a.t)</t>
  </si>
  <si>
    <t>Corrosión Permitida Techo</t>
  </si>
  <si>
    <t>in</t>
  </si>
  <si>
    <t>Material</t>
  </si>
  <si>
    <t>(Sd)</t>
  </si>
  <si>
    <t>Sd</t>
  </si>
  <si>
    <t>MPa</t>
  </si>
  <si>
    <t>psi</t>
  </si>
  <si>
    <t>(St)</t>
  </si>
  <si>
    <t>St</t>
  </si>
  <si>
    <t>(td)</t>
  </si>
  <si>
    <t>td</t>
  </si>
  <si>
    <t>Las dimensiones exactas deberán definirse en la ingeniería.</t>
  </si>
  <si>
    <t>(tt)</t>
  </si>
  <si>
    <t>tt</t>
  </si>
  <si>
    <t>CUERPO</t>
  </si>
  <si>
    <t>Anillos</t>
  </si>
  <si>
    <t>Alto de lámina</t>
  </si>
  <si>
    <t>Altura 
H</t>
  </si>
  <si>
    <t>Espesor de Diseño 
(td)</t>
  </si>
  <si>
    <t>Espesor de Prueba Hidrostatica 
(tt)</t>
  </si>
  <si>
    <t xml:space="preserve">Espesor minimo requerido (incluye c.a.)
(tmin) </t>
  </si>
  <si>
    <t>Espesor comercial
(tc)</t>
  </si>
  <si>
    <t>Peso</t>
  </si>
  <si>
    <t>Toleracia de Fabrica
(tf)</t>
  </si>
  <si>
    <t>Peso de Laminas
Kg</t>
  </si>
  <si>
    <t xml:space="preserve">No </t>
  </si>
  <si>
    <t>lb</t>
  </si>
  <si>
    <t>6´x20</t>
  </si>
  <si>
    <t>8´x20´</t>
  </si>
  <si>
    <t>Usada</t>
  </si>
  <si>
    <t>Láminas</t>
  </si>
  <si>
    <t>Total =</t>
  </si>
  <si>
    <t>H</t>
  </si>
  <si>
    <t>tmin</t>
  </si>
  <si>
    <t>tc</t>
  </si>
  <si>
    <t>tf</t>
  </si>
  <si>
    <t>Peso de Laminas (lb)</t>
  </si>
  <si>
    <t>kg</t>
  </si>
  <si>
    <t>tn</t>
  </si>
  <si>
    <t>FONDO</t>
  </si>
  <si>
    <t xml:space="preserve">tr </t>
  </si>
  <si>
    <t xml:space="preserve"> t + CA</t>
  </si>
  <si>
    <t>t comercial</t>
  </si>
  <si>
    <t>Angulo de inclinación Fondo =</t>
  </si>
  <si>
    <t>°</t>
  </si>
  <si>
    <t>Densidad</t>
  </si>
  <si>
    <t>kg/m^3</t>
  </si>
  <si>
    <t>lbf/ft^3</t>
  </si>
  <si>
    <t>Hr</t>
  </si>
  <si>
    <t>ra</t>
  </si>
  <si>
    <t>r</t>
  </si>
  <si>
    <t>A</t>
  </si>
  <si>
    <t>m^2</t>
  </si>
  <si>
    <t>Ft^2</t>
  </si>
  <si>
    <t>t</t>
  </si>
  <si>
    <t>V</t>
  </si>
  <si>
    <t>Ft^3</t>
  </si>
  <si>
    <t>No de laminas</t>
  </si>
  <si>
    <t>Wt</t>
  </si>
  <si>
    <t>lbf</t>
  </si>
  <si>
    <t>TANQUE TECHO CONICO API-650</t>
  </si>
  <si>
    <t>TECHO CONICO</t>
  </si>
  <si>
    <t>trecom</t>
  </si>
  <si>
    <t>t+CA=</t>
  </si>
  <si>
    <t>Angulo de inclinación Techo =</t>
  </si>
  <si>
    <t>Longitud de Juntas</t>
  </si>
  <si>
    <t>TANQUE TECHO DOMO (ap. G) API650</t>
  </si>
  <si>
    <t>´+/- % tf</t>
  </si>
  <si>
    <t>PESO LAMINA</t>
  </si>
  <si>
    <t>KG</t>
  </si>
  <si>
    <t>t a usar</t>
  </si>
  <si>
    <t>FACTOR MÁXIMO DE PONDERACIÓN</t>
  </si>
  <si>
    <t>Para determinar el valor de afectación; introducir el valor de 1 a 5 en la columna H casilla en blanco; para cada uno de los aspectos a evaluar.</t>
  </si>
  <si>
    <t>INCLUYE LOS DEPARTAMENTOS DE ATLANTICO, BOLIVAR, CORDOBA, SUCRE Y MAGDALENA</t>
  </si>
  <si>
    <t>FACILIDAD DE INGRESO A LA ZONA</t>
  </si>
  <si>
    <t xml:space="preserve">Para la evaluación de este aspecto se debe considerar condiciones particulares de las vías de acceso y topografía del terreno </t>
  </si>
  <si>
    <t>No existen dificultades de ingreso a la zona</t>
  </si>
  <si>
    <t>Algunas veces se presentan dificultades.</t>
  </si>
  <si>
    <t xml:space="preserve">Durante algunos periodos se presentan dificultades </t>
  </si>
  <si>
    <t>Generalmente se presentan dificultades</t>
  </si>
  <si>
    <t>Se evidencia dificultad permanente</t>
  </si>
  <si>
    <t>DISPONIBILIDAD DE SERVICIOS LOGISTICOS</t>
  </si>
  <si>
    <t>Se deben considerar disponibilidad y acceso de hoteles, servicios públicos, transporte público, alimentación general</t>
  </si>
  <si>
    <t>Disponibilidad abundante de todos los servicios logisticos</t>
  </si>
  <si>
    <t>Disponibilidad suficiente de todos los servicios logisticos</t>
  </si>
  <si>
    <t>Disponibilidad insuficiente de todos los servicios logisticos</t>
  </si>
  <si>
    <t>Disponibilidad escasa de todos los servicios logisticos</t>
  </si>
  <si>
    <t>No se dispone de recursos logisticos en el área</t>
  </si>
  <si>
    <t>DISPONIBILIDAD DE MATERIALES EN LA ZONA</t>
  </si>
  <si>
    <t>Considerar la disponibilidad de consecución de los materiales en las poblaciones más cercanas al sitio de ejecución de los trabajos.</t>
  </si>
  <si>
    <t>Fácil consecución</t>
  </si>
  <si>
    <t>Algunas limitaciones en la consecución</t>
  </si>
  <si>
    <t>Limitaciones en la consecución</t>
  </si>
  <si>
    <t>Condiciones especiales para la consecución</t>
  </si>
  <si>
    <t>No existe disponibilidad</t>
  </si>
  <si>
    <t>ORDEN PUBLICO</t>
  </si>
  <si>
    <t>Considerar eventos de sabotaje por grupos al margen de la ley</t>
  </si>
  <si>
    <t>No se tiene conocimiento de eventos de orden público</t>
  </si>
  <si>
    <t>Se conoce de eventos menores de orden público</t>
  </si>
  <si>
    <t>Se presentan algunos eventos de orden público</t>
  </si>
  <si>
    <t>Regularmente se presentan eventos de orden público</t>
  </si>
  <si>
    <t>Se consideran altos riesgos de orden público</t>
  </si>
  <si>
    <t>SOCIAL</t>
  </si>
  <si>
    <t>Considerar impactos de las comunidades y grupos de interes en la región</t>
  </si>
  <si>
    <t>No se tiene conocimiento de eventos por las comunidades</t>
  </si>
  <si>
    <t>Se conoce de eventos menores o aislados</t>
  </si>
  <si>
    <t>Se presentan algunos eventos relacionados con las comunidades</t>
  </si>
  <si>
    <t>Regularmente se presentan eventos por las comunidades</t>
  </si>
  <si>
    <t>Se consideran altos riesgos sociales críticos</t>
  </si>
  <si>
    <t>FACTOR APLICABLE A LA PLANTA (SOLO CONSTRUCCION Y MONTAJE)</t>
  </si>
  <si>
    <t>Para determinar el valor de afectación; introducir el valor de 1 a 5 en la columna G casilla en blanco; para cada uno de los aspectos a evaluar.</t>
  </si>
  <si>
    <t>INCLUYE LOS DEPARTAMENTOS DE SANTANDER Y VALLE MEDIO DEL MAGDALENA (DESDE AYACUCHO CESAR HASTA PUERTO SALGAR CUNDINAMARCA)</t>
  </si>
  <si>
    <t>INCLUYE LOS DEPARTAMENTOS DE CUNDINAMARCA, BOYACA, VIEJO CALDAS, ANTIOQUIA Y VALLE DEL CAUCA</t>
  </si>
  <si>
    <t>INCLUYE LOS DEPARTAMENTOS DE TOLIMA Y HUILA</t>
  </si>
  <si>
    <t>INCLUYE LOS DEPARTAMENTOS DE META, CASANARE SOBRE EL EJE DE ACACIAS - YOPAL</t>
  </si>
  <si>
    <t>Regresión</t>
  </si>
  <si>
    <t>Potencial</t>
  </si>
  <si>
    <t>Coeficiente</t>
  </si>
  <si>
    <t>Exponente</t>
  </si>
  <si>
    <t>Error estandar</t>
  </si>
  <si>
    <t xml:space="preserve">ILUMINACIÓN </t>
  </si>
  <si>
    <t>SIPRA SPT</t>
  </si>
  <si>
    <t>ÁREA REQUERIDA
(Tk + PATIO + DIQUE)
m2</t>
  </si>
  <si>
    <t>Nº cámaras espuma
(mín.)</t>
  </si>
  <si>
    <t>Total boquillas</t>
  </si>
  <si>
    <t xml:space="preserve"> SIPRA/SPT</t>
  </si>
  <si>
    <t>GBL</t>
  </si>
  <si>
    <t>malla kg/m2</t>
  </si>
  <si>
    <t>Versión 4</t>
  </si>
  <si>
    <t>Actualización costos indice y modelamiento pilotes</t>
  </si>
  <si>
    <t xml:space="preserve"> </t>
  </si>
  <si>
    <t>ok</t>
  </si>
  <si>
    <t>En USD 2024</t>
  </si>
  <si>
    <t>Capacidad &gt; 120kbls</t>
  </si>
  <si>
    <t>Capacidad &lt;=120kbls</t>
  </si>
  <si>
    <t>Pilotaje</t>
  </si>
  <si>
    <t xml:space="preserve"> USD2024 sin impuestos</t>
  </si>
  <si>
    <t>Malla electrosoldada</t>
  </si>
  <si>
    <t>ILUMINACIÓN</t>
  </si>
  <si>
    <t>us$2024</t>
  </si>
  <si>
    <t>% Equipo</t>
  </si>
  <si>
    <t>No</t>
  </si>
  <si>
    <t>SPC x m2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</si>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</sst>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8">
    <numFmt numFmtId="41" formatCode="_-* #,##0_-;\-* #,##0_-;_-* &quot;-&quot;_-;_-@_-"/>
    <numFmt numFmtId="43" formatCode="_-* #,##0.00_-;\-* #,##0.00_-;_-* &quot;-&quot;??_-;_-@_-"/>
    <numFmt numFmtId="164" formatCode="_-&quot;$&quot;* #,##0_-;\-&quot;$&quot;* #,##0_-;_-&quot;$&quot;* &quot;-&quot;_-;_-@_-"/>
    <numFmt numFmtId="165" formatCode="_-* #,##0.00_-;\-* #,##0.00_-;_-* \-??_-;_-@_-"/>
    <numFmt numFmtId="166" formatCode="_(* #,##0.00_);_(* \(#,##0.00\);_(* \-??_);_(@_)"/>
    <numFmt numFmtId="167" formatCode="[$$-409]#,##0"/>
    <numFmt numFmtId="168" formatCode="[$$-240A]#,##0.00;[Red]\([$$-240A]#,##0.00\)"/>
    <numFmt numFmtId="169" formatCode="_([$$-409]* #,##0.00_);_([$$-409]* \(#,##0.00\);_([$$-409]* \-??_);_(@_)"/>
    <numFmt numFmtId="170" formatCode="_(* #,##0_);_(* \(#,##0\);_(* \-??_);_(@_)"/>
    <numFmt numFmtId="171" formatCode="* #,##0\ ;* \(#,##0\);* \-#\ ;@\ "/>
    <numFmt numFmtId="172" formatCode="#,##0.000"/>
    <numFmt numFmtId="173" formatCode="0.0000"/>
    <numFmt numFmtId="174" formatCode="[$$-240A]#,##0;[Red]\([$$-240A]#,##0\)"/>
    <numFmt numFmtId="175" formatCode="&quot;$ &quot;#,##0"/>
    <numFmt numFmtId="176" formatCode="&quot;$ &quot;#,##0.00"/>
    <numFmt numFmtId="177" formatCode="&quot;$ &quot;#,##0.0"/>
    <numFmt numFmtId="178" formatCode="_ * #,##0_ ;_ * \-#,##0_ ;_ * \-??_ ;_ @_ "/>
    <numFmt numFmtId="179" formatCode="_ * #,##0.0_ ;_ * \-#,##0.0_ ;_ * \-??_ ;_ @_ "/>
    <numFmt numFmtId="180" formatCode="_(* #,##0.0_);_(* \(#,##0.0\);_(* \-??_);_(@_)"/>
    <numFmt numFmtId="181" formatCode="_-* #,##0.0_-;\-* #,##0.0_-;_-* \-?_-;_-@_-"/>
    <numFmt numFmtId="182" formatCode="_ * #,##0.00000_ ;_ * \-#,##0.00000_ ;_ * \-??_ ;_ @_ "/>
    <numFmt numFmtId="183" formatCode="0.0"/>
    <numFmt numFmtId="184" formatCode="_ * #,##0.000_ ;_ * \-#,##0.000_ ;_ * \-??_ ;_ @_ "/>
    <numFmt numFmtId="185" formatCode="_-\$* #,##0.00_-;&quot;-$&quot;* #,##0.00_-;_-\$* \-??_-;_-@_-"/>
    <numFmt numFmtId="186" formatCode="_ &quot;$ &quot;* #,##0_ ;_ &quot;$ &quot;* \-#,##0_ ;_ &quot;$ &quot;* \-??_ ;_ @_ "/>
    <numFmt numFmtId="187" formatCode="#,##0.0000"/>
    <numFmt numFmtId="188" formatCode="_ * #,##0.0000_ ;_ * \-#,##0.0000_ ;_ * \-??_ ;_ @_ "/>
    <numFmt numFmtId="189" formatCode="0.000"/>
    <numFmt numFmtId="190" formatCode="_ &quot;$ &quot;* #,##0.00_ ;_ &quot;$ &quot;* \-#,##0.00_ ;_ &quot;$ &quot;* \-??_ ;_ @_ "/>
    <numFmt numFmtId="191" formatCode="_ * #,##0.00_ ;_ * \-#,##0.00_ ;_ * \-??_ ;_ @_ "/>
    <numFmt numFmtId="192" formatCode="0.000000"/>
    <numFmt numFmtId="193" formatCode="#,##0.00000"/>
    <numFmt numFmtId="194" formatCode="0.000%"/>
    <numFmt numFmtId="195" formatCode="&quot; $ &quot;* #,##0\ ;&quot; $ &quot;* \(#,##0\);&quot; $ &quot;* \-#\ ;@\ "/>
    <numFmt numFmtId="196" formatCode="#,##0.00;[Red]#,##0.00"/>
    <numFmt numFmtId="197" formatCode="_-* #.##000_-;\-* #.##000_-;_-* \-??_-;_-@_-"/>
    <numFmt numFmtId="198" formatCode="\$#,#00"/>
    <numFmt numFmtId="199" formatCode="&quot;$&quot;#,##0"/>
    <numFmt numFmtId="200" formatCode="&quot;$&quot;\ #,##0.00_);[Red]\(&quot;$&quot;\ #,##0.00\)"/>
    <numFmt numFmtId="201" formatCode="[$$-240A]\ #,##0.00;[Red][$$-240A]\ #,##0.00"/>
    <numFmt numFmtId="202" formatCode="d/mm/yy"/>
    <numFmt numFmtId="203" formatCode="#0.000"/>
    <numFmt numFmtId="204" formatCode="[$$-409]#,##0.00"/>
    <numFmt numFmtId="205" formatCode="_-* #,##0.000000_-;\-* #,##0.000000_-;_-* &quot;-&quot;_-;_-@_-"/>
    <numFmt numFmtId="206" formatCode="_-* #,##0.00000_-;\-* #,##0.00000_-;_-* &quot;-&quot;_-;_-@_-"/>
    <numFmt numFmtId="207" formatCode="#,###.00"/>
    <numFmt numFmtId="208" formatCode="#,###.0000"/>
    <numFmt numFmtId="209" formatCode="&quot;$&quot;\ #,##0.00"/>
  </numFmts>
  <fonts count="89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b/>
      <sz val="18"/>
      <color rgb="FF203864"/>
      <name val="Calibri"/>
      <family val="2"/>
      <charset val="1"/>
    </font>
    <font>
      <b/>
      <sz val="20"/>
      <color rgb="FF203864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0"/>
      <color rgb="FF000000"/>
      <name val="Arial"/>
      <family val="2"/>
      <charset val="1"/>
    </font>
    <font>
      <b/>
      <sz val="10"/>
      <color rgb="FF203864"/>
      <name val="Arial"/>
      <family val="2"/>
      <charset val="1"/>
    </font>
    <font>
      <b/>
      <sz val="11"/>
      <name val="Calibri"/>
      <family val="2"/>
      <charset val="1"/>
    </font>
    <font>
      <b/>
      <sz val="10"/>
      <color rgb="FF254061"/>
      <name val="Arial"/>
      <family val="2"/>
      <charset val="1"/>
    </font>
    <font>
      <b/>
      <sz val="10"/>
      <name val="Arial"/>
      <family val="2"/>
      <charset val="1"/>
    </font>
    <font>
      <sz val="11"/>
      <name val="Calibri"/>
      <family val="2"/>
      <charset val="1"/>
    </font>
    <font>
      <sz val="10"/>
      <name val="Arial"/>
      <family val="2"/>
      <charset val="1"/>
    </font>
    <font>
      <b/>
      <sz val="14"/>
      <color rgb="FF000000"/>
      <name val="Calibri"/>
      <family val="2"/>
      <charset val="1"/>
    </font>
    <font>
      <b/>
      <sz val="14"/>
      <name val="Calibri"/>
      <family val="2"/>
      <charset val="1"/>
    </font>
    <font>
      <sz val="12"/>
      <color rgb="FF222222"/>
      <name val="Arial"/>
      <family val="2"/>
      <charset val="1"/>
    </font>
    <font>
      <sz val="8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b/>
      <sz val="8"/>
      <name val="Calibri"/>
      <family val="2"/>
      <charset val="1"/>
    </font>
    <font>
      <sz val="8"/>
      <name val="Calibri"/>
      <family val="2"/>
      <charset val="1"/>
    </font>
    <font>
      <b/>
      <sz val="8"/>
      <color rgb="FFFF0000"/>
      <name val="Calibri"/>
      <family val="2"/>
      <charset val="1"/>
    </font>
    <font>
      <b/>
      <sz val="9"/>
      <color rgb="FF000000"/>
      <name val="Tahoma"/>
      <family val="2"/>
      <charset val="1"/>
    </font>
    <font>
      <sz val="9"/>
      <color rgb="FF000000"/>
      <name val="Tahoma"/>
      <family val="2"/>
      <charset val="1"/>
    </font>
    <font>
      <sz val="9"/>
      <name val="Calibri"/>
      <family val="2"/>
      <charset val="1"/>
    </font>
    <font>
      <b/>
      <sz val="24"/>
      <color rgb="FF004236"/>
      <name val="Arial"/>
      <family val="2"/>
      <charset val="1"/>
    </font>
    <font>
      <b/>
      <u/>
      <sz val="10"/>
      <color rgb="FFFFFFFF"/>
      <name val="Arial"/>
      <family val="2"/>
      <charset val="1"/>
    </font>
    <font>
      <b/>
      <sz val="10"/>
      <color rgb="FFFFFFFF"/>
      <name val="Arial"/>
      <family val="2"/>
      <charset val="1"/>
    </font>
    <font>
      <b/>
      <sz val="11"/>
      <color rgb="FFFFFFFF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sz val="10"/>
      <color rgb="FFFFFFFF"/>
      <name val="Arial"/>
      <family val="2"/>
      <charset val="1"/>
    </font>
    <font>
      <sz val="11"/>
      <name val="Arial"/>
      <family val="2"/>
      <charset val="1"/>
    </font>
    <font>
      <b/>
      <sz val="18"/>
      <name val="Arial"/>
      <family val="2"/>
      <charset val="1"/>
    </font>
    <font>
      <b/>
      <sz val="8"/>
      <color rgb="FFFFFFFF"/>
      <name val="Arial"/>
      <family val="2"/>
      <charset val="1"/>
    </font>
    <font>
      <b/>
      <sz val="14"/>
      <name val="Arial"/>
      <family val="2"/>
      <charset val="1"/>
    </font>
    <font>
      <sz val="14"/>
      <name val="Arial"/>
      <family val="2"/>
      <charset val="1"/>
    </font>
    <font>
      <sz val="8"/>
      <name val="Arial"/>
      <family val="2"/>
      <charset val="1"/>
    </font>
    <font>
      <b/>
      <sz val="10"/>
      <color rgb="FF004236"/>
      <name val="Arial"/>
      <family val="2"/>
      <charset val="1"/>
    </font>
    <font>
      <b/>
      <sz val="10"/>
      <color rgb="FFFF0000"/>
      <name val="Arial"/>
      <family val="2"/>
      <charset val="1"/>
    </font>
    <font>
      <b/>
      <sz val="9"/>
      <color rgb="FFFFFFFF"/>
      <name val="Arial"/>
      <family val="2"/>
      <charset val="1"/>
    </font>
    <font>
      <b/>
      <sz val="9"/>
      <color rgb="FF000000"/>
      <name val="Arial"/>
      <family val="2"/>
      <charset val="1"/>
    </font>
    <font>
      <sz val="9"/>
      <color rgb="FF000000"/>
      <name val="Arial"/>
      <family val="2"/>
      <charset val="1"/>
    </font>
    <font>
      <b/>
      <sz val="9"/>
      <color rgb="FF004236"/>
      <name val="Arial"/>
      <family val="2"/>
      <charset val="1"/>
    </font>
    <font>
      <b/>
      <sz val="8"/>
      <color rgb="FF000000"/>
      <name val="Arial"/>
      <family val="2"/>
      <charset val="1"/>
    </font>
    <font>
      <b/>
      <u/>
      <sz val="10"/>
      <color rgb="FF000000"/>
      <name val="Arial"/>
      <family val="2"/>
      <charset val="1"/>
    </font>
    <font>
      <b/>
      <sz val="10"/>
      <color rgb="FF000000"/>
      <name val="Cambria"/>
      <family val="1"/>
      <charset val="1"/>
    </font>
    <font>
      <b/>
      <sz val="10"/>
      <color rgb="FF002060"/>
      <name val="Arial"/>
      <family val="2"/>
      <charset val="1"/>
    </font>
    <font>
      <sz val="8"/>
      <color rgb="FF000000"/>
      <name val="Arial"/>
      <family val="2"/>
      <charset val="1"/>
    </font>
    <font>
      <sz val="12"/>
      <color rgb="FF000000"/>
      <name val="Arial Narrow"/>
      <family val="2"/>
      <charset val="1"/>
    </font>
    <font>
      <b/>
      <sz val="12"/>
      <color rgb="FF000000"/>
      <name val="Arial Narrow"/>
      <family val="2"/>
      <charset val="1"/>
    </font>
    <font>
      <b/>
      <sz val="12"/>
      <color rgb="FF254061"/>
      <name val="Arial Narrow"/>
      <family val="2"/>
      <charset val="1"/>
    </font>
    <font>
      <b/>
      <sz val="10"/>
      <color rgb="FF000000"/>
      <name val="Arial Narrow"/>
      <family val="2"/>
      <charset val="1"/>
    </font>
    <font>
      <sz val="11"/>
      <color rgb="FF000000"/>
      <name val="Arial Narrow"/>
      <family val="2"/>
      <charset val="1"/>
    </font>
    <font>
      <sz val="10"/>
      <color rgb="FF000000"/>
      <name val="Arial Narrow"/>
      <family val="2"/>
      <charset val="1"/>
    </font>
    <font>
      <b/>
      <sz val="12"/>
      <name val="Arial Narrow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  <charset val="1"/>
    </font>
    <font>
      <sz val="1"/>
      <color rgb="FF000000"/>
      <name val="Courier New"/>
      <family val="3"/>
      <charset val="1"/>
    </font>
    <font>
      <b/>
      <sz val="8"/>
      <color rgb="FF000000"/>
      <name val="Calibri"/>
      <family val="2"/>
      <charset val="1"/>
    </font>
    <font>
      <b/>
      <sz val="8"/>
      <color theme="1"/>
      <name val="Calibri"/>
      <family val="2"/>
      <charset val="1"/>
      <scheme val="minor"/>
    </font>
    <font>
      <b/>
      <sz val="11"/>
      <color rgb="FF1F4E79"/>
      <name val="Calibri"/>
      <family val="2"/>
      <charset val="1"/>
    </font>
    <font>
      <b/>
      <sz val="10"/>
      <name val="Arial"/>
      <family val="2"/>
    </font>
    <font>
      <u/>
      <sz val="11"/>
      <color theme="10"/>
      <name val="Calibri"/>
      <family val="2"/>
      <charset val="1"/>
    </font>
    <font>
      <sz val="10"/>
      <color theme="1"/>
      <name val="Arial Unicode MS"/>
      <family val="2"/>
    </font>
    <font>
      <b/>
      <sz val="14"/>
      <color rgb="FF203864"/>
      <name val="Calibri"/>
      <family val="2"/>
      <charset val="1"/>
    </font>
    <font>
      <sz val="12"/>
      <color theme="0"/>
      <name val="Calibri"/>
      <family val="2"/>
      <scheme val="minor"/>
    </font>
    <font>
      <sz val="8"/>
      <name val="Calibri"/>
      <family val="2"/>
    </font>
    <font>
      <sz val="11"/>
      <color theme="0" tint="-4.9989318521683403E-2"/>
      <name val="Calibri"/>
      <family val="2"/>
      <charset val="1"/>
    </font>
    <font>
      <sz val="14"/>
      <color rgb="FFFF0000"/>
      <name val="Arial"/>
      <family val="2"/>
      <charset val="1"/>
    </font>
    <font>
      <sz val="10"/>
      <color rgb="FFFF0000"/>
      <name val="Arial"/>
      <family val="2"/>
      <charset val="1"/>
    </font>
    <font>
      <b/>
      <sz val="12"/>
      <color theme="8" tint="-0.499984740745262"/>
      <name val="Arial"/>
      <family val="2"/>
    </font>
    <font>
      <i/>
      <sz val="11"/>
      <color rgb="FF000000"/>
      <name val="Calibri"/>
      <family val="2"/>
    </font>
    <font>
      <i/>
      <sz val="10"/>
      <name val="Arial"/>
      <family val="2"/>
    </font>
    <font>
      <i/>
      <sz val="11"/>
      <name val="Calibri"/>
      <family val="2"/>
    </font>
    <font>
      <sz val="11"/>
      <color indexed="8"/>
      <name val="Calibri"/>
      <family val="2"/>
      <scheme val="minor"/>
    </font>
    <font>
      <b/>
      <sz val="10"/>
      <color rgb="FF000000"/>
      <name val="Arial"/>
      <family val="2"/>
    </font>
    <font>
      <i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b/>
      <i/>
      <sz val="11"/>
      <color rgb="FF000000"/>
      <name val="Calibri"/>
      <family val="2"/>
    </font>
    <font>
      <sz val="9"/>
      <color indexed="81"/>
      <name val="Tahoma"/>
      <family val="2"/>
    </font>
    <font>
      <b/>
      <sz val="9"/>
      <color rgb="FF254061"/>
      <name val="Arial"/>
      <family val="2"/>
      <charset val="1"/>
    </font>
    <font>
      <b/>
      <sz val="9"/>
      <name val="Arial"/>
      <family val="2"/>
      <charset val="1"/>
    </font>
    <font>
      <sz val="10"/>
      <name val="Arial"/>
      <family val="2"/>
    </font>
    <font>
      <b/>
      <sz val="8"/>
      <color theme="0"/>
      <name val="Calibri"/>
      <family val="2"/>
      <charset val="1"/>
    </font>
    <font>
      <sz val="8"/>
      <color rgb="FFFF0000"/>
      <name val="Calibri"/>
      <family val="2"/>
      <charset val="1"/>
    </font>
    <font>
      <sz val="11"/>
      <color rgb="FFFF0000"/>
      <name val="Calibri"/>
      <family val="2"/>
      <charset val="1"/>
    </font>
    <font>
      <b/>
      <sz val="9"/>
      <color indexed="81"/>
      <name val="Tahoma"/>
      <family val="2"/>
    </font>
    <font>
      <sz val="8"/>
      <color theme="1"/>
      <name val="Calibri"/>
      <family val="2"/>
      <charset val="1"/>
    </font>
  </fonts>
  <fills count="59">
    <fill>
      <patternFill patternType="none"/>
    </fill>
    <fill>
      <patternFill patternType="gray125"/>
    </fill>
    <fill>
      <patternFill patternType="solid">
        <fgColor rgb="FFF2DCDB"/>
        <bgColor rgb="FFFDEADA"/>
      </patternFill>
    </fill>
    <fill>
      <patternFill patternType="solid">
        <fgColor rgb="FFDCE6F2"/>
        <bgColor rgb="FFD9D9D9"/>
      </patternFill>
    </fill>
    <fill>
      <patternFill patternType="solid">
        <fgColor rgb="FFD9D9D9"/>
        <bgColor rgb="FFD7E4BD"/>
      </patternFill>
    </fill>
    <fill>
      <patternFill patternType="solid">
        <fgColor rgb="FFF2F2F2"/>
        <bgColor rgb="FFFDEADA"/>
      </patternFill>
    </fill>
    <fill>
      <patternFill patternType="solid">
        <fgColor rgb="FFFFFF00"/>
        <bgColor rgb="FFF7DB17"/>
      </patternFill>
    </fill>
    <fill>
      <patternFill patternType="solid">
        <fgColor rgb="FFBFBFBF"/>
        <bgColor rgb="FFB3B3B3"/>
      </patternFill>
    </fill>
    <fill>
      <patternFill patternType="solid">
        <fgColor rgb="FF7030A0"/>
        <bgColor rgb="FF993366"/>
      </patternFill>
    </fill>
    <fill>
      <patternFill patternType="solid">
        <fgColor rgb="FF77933C"/>
        <bgColor rgb="FFA6A6A6"/>
      </patternFill>
    </fill>
    <fill>
      <patternFill patternType="solid">
        <fgColor rgb="FFFDEADA"/>
        <bgColor rgb="FFF2F2F2"/>
      </patternFill>
    </fill>
    <fill>
      <patternFill patternType="solid">
        <fgColor rgb="FFFFFFFF"/>
        <bgColor rgb="FFF2F2F2"/>
      </patternFill>
    </fill>
    <fill>
      <patternFill patternType="solid">
        <fgColor rgb="FFC6D9F1"/>
        <bgColor rgb="FFD9D9D9"/>
      </patternFill>
    </fill>
    <fill>
      <patternFill patternType="solid">
        <fgColor rgb="FF004236"/>
        <bgColor rgb="FF203864"/>
      </patternFill>
    </fill>
    <fill>
      <patternFill patternType="solid">
        <fgColor rgb="FFA6A6A6"/>
        <bgColor rgb="FFB3B3B3"/>
      </patternFill>
    </fill>
    <fill>
      <patternFill patternType="solid">
        <fgColor rgb="FFF7DB17"/>
        <bgColor rgb="FFFFC000"/>
      </patternFill>
    </fill>
    <fill>
      <patternFill patternType="solid">
        <fgColor rgb="FF0070C0"/>
        <bgColor rgb="FF008080"/>
      </patternFill>
    </fill>
    <fill>
      <patternFill patternType="solid">
        <fgColor rgb="FF002060"/>
        <bgColor rgb="FF203864"/>
      </patternFill>
    </fill>
    <fill>
      <patternFill patternType="solid">
        <fgColor rgb="FFD7E4BD"/>
        <bgColor rgb="FFD9D9D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9CDE5"/>
        <bgColor rgb="FFC6D9F1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rgb="FFC6D9F1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0.14999847407452621"/>
        <bgColor rgb="FFB9CDE5"/>
      </patternFill>
    </fill>
    <fill>
      <patternFill patternType="solid">
        <fgColor theme="0" tint="-0.14999847407452621"/>
        <bgColor rgb="FFFDEADA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0" tint="-4.9989318521683403E-2"/>
        <bgColor rgb="FFFDEADA"/>
      </patternFill>
    </fill>
    <fill>
      <patternFill patternType="solid">
        <fgColor theme="0" tint="-0.14999847407452621"/>
        <bgColor rgb="FFFF420E"/>
      </patternFill>
    </fill>
    <fill>
      <patternFill patternType="solid">
        <fgColor theme="0" tint="-0.14999847407452621"/>
        <bgColor rgb="FF993366"/>
      </patternFill>
    </fill>
    <fill>
      <patternFill patternType="solid">
        <fgColor rgb="FFD9D9D9"/>
        <bgColor rgb="FFDDDDDD"/>
      </patternFill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rgb="FFB3B3B3"/>
      </patternFill>
    </fill>
    <fill>
      <patternFill patternType="solid">
        <fgColor theme="4" tint="0.79998168889431442"/>
        <bgColor rgb="FFD9D9D9"/>
      </patternFill>
    </fill>
    <fill>
      <patternFill patternType="solid">
        <fgColor theme="3" tint="0.79998168889431442"/>
        <bgColor rgb="FFD9D9D9"/>
      </patternFill>
    </fill>
    <fill>
      <patternFill patternType="solid">
        <fgColor theme="3" tint="0.79998168889431442"/>
        <bgColor rgb="FFF7DB17"/>
      </patternFill>
    </fill>
    <fill>
      <patternFill patternType="solid">
        <fgColor theme="4" tint="0.79998168889431442"/>
        <bgColor rgb="FFF7DB17"/>
      </patternFill>
    </fill>
    <fill>
      <patternFill patternType="solid">
        <fgColor theme="0" tint="-4.9989318521683403E-2"/>
        <bgColor rgb="FFDDDDDD"/>
      </patternFill>
    </fill>
    <fill>
      <patternFill patternType="solid">
        <fgColor theme="9" tint="0.79998168889431442"/>
        <bgColor rgb="FFFDEADA"/>
      </patternFill>
    </fill>
    <fill>
      <patternFill patternType="solid">
        <fgColor rgb="FFBFBFBF"/>
        <bgColor rgb="FFC5E0B4"/>
      </patternFill>
    </fill>
    <fill>
      <patternFill patternType="solid">
        <fgColor theme="0" tint="-4.9989318521683403E-2"/>
        <bgColor rgb="FFC5E0B4"/>
      </patternFill>
    </fill>
    <fill>
      <patternFill patternType="solid">
        <fgColor rgb="FFF2F2F2"/>
        <bgColor rgb="FFEBF1DE"/>
      </patternFill>
    </fill>
    <fill>
      <patternFill patternType="solid">
        <fgColor rgb="FFDEEBF7"/>
        <bgColor rgb="FFEBF1DE"/>
      </patternFill>
    </fill>
    <fill>
      <patternFill patternType="solid">
        <fgColor theme="4" tint="0.79998168889431442"/>
        <bgColor rgb="FFEBF1DE"/>
      </patternFill>
    </fill>
    <fill>
      <patternFill patternType="solid">
        <fgColor theme="0" tint="-4.9989318521683403E-2"/>
        <bgColor rgb="FFC6D9F1"/>
      </patternFill>
    </fill>
    <fill>
      <patternFill patternType="solid">
        <fgColor theme="5" tint="0.59999389629810485"/>
        <bgColor rgb="FFF2F2F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rgb="FFEBF1DE"/>
      </patternFill>
    </fill>
    <fill>
      <patternFill patternType="solid">
        <fgColor theme="8" tint="0.39997558519241921"/>
        <bgColor rgb="FFD9D9D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rgb="FFD9D9D9"/>
      </patternFill>
    </fill>
    <fill>
      <patternFill patternType="solid">
        <fgColor theme="5" tint="0.39997558519241921"/>
        <bgColor rgb="FFF2F2F2"/>
      </patternFill>
    </fill>
    <fill>
      <patternFill patternType="solid">
        <fgColor theme="5" tint="-0.499984740745262"/>
        <bgColor rgb="FFF2F2F2"/>
      </patternFill>
    </fill>
    <fill>
      <patternFill patternType="solid">
        <fgColor theme="0" tint="-4.9989318521683403E-2"/>
        <bgColor rgb="FFD9D9D9"/>
      </patternFill>
    </fill>
    <fill>
      <patternFill patternType="solid">
        <fgColor theme="5" tint="0.59999389629810485"/>
        <bgColor rgb="FFD9D9D9"/>
      </patternFill>
    </fill>
    <fill>
      <patternFill patternType="solid">
        <fgColor theme="5" tint="0.59999389629810485"/>
        <bgColor rgb="FFFDEADA"/>
      </patternFill>
    </fill>
    <fill>
      <patternFill patternType="solid">
        <fgColor theme="7" tint="0.79998168889431442"/>
        <bgColor rgb="FFFDEADA"/>
      </patternFill>
    </fill>
    <fill>
      <patternFill patternType="solid">
        <fgColor theme="0" tint="-0.14999847407452621"/>
        <bgColor rgb="FFD9D9D9"/>
      </patternFill>
    </fill>
  </fills>
  <borders count="8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 diagonalUp="1">
      <left/>
      <right/>
      <top/>
      <bottom style="thin">
        <color auto="1"/>
      </bottom>
      <diagonal style="thin">
        <color auto="1"/>
      </diagonal>
    </border>
    <border diagonalDown="1">
      <left/>
      <right/>
      <top/>
      <bottom style="thin">
        <color auto="1"/>
      </bottom>
      <diagonal style="thin">
        <color auto="1"/>
      </diagonal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medium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0">
    <xf numFmtId="0" fontId="0" fillId="0" borderId="0"/>
    <xf numFmtId="166" fontId="55" fillId="0" borderId="0" applyBorder="0" applyProtection="0"/>
    <xf numFmtId="185" fontId="55" fillId="0" borderId="0" applyBorder="0" applyProtection="0"/>
    <xf numFmtId="9" fontId="55" fillId="0" borderId="0" applyBorder="0" applyProtection="0"/>
    <xf numFmtId="165" fontId="55" fillId="0" borderId="0" applyBorder="0" applyProtection="0"/>
    <xf numFmtId="166" fontId="55" fillId="0" borderId="0" applyBorder="0" applyProtection="0"/>
    <xf numFmtId="165" fontId="55" fillId="0" borderId="0" applyBorder="0" applyProtection="0"/>
    <xf numFmtId="167" fontId="1" fillId="0" borderId="0"/>
    <xf numFmtId="167" fontId="55" fillId="0" borderId="0"/>
    <xf numFmtId="0" fontId="55" fillId="0" borderId="0"/>
    <xf numFmtId="9" fontId="55" fillId="0" borderId="0" applyBorder="0" applyProtection="0"/>
    <xf numFmtId="9" fontId="55" fillId="0" borderId="0" applyBorder="0" applyProtection="0"/>
    <xf numFmtId="166" fontId="55" fillId="0" borderId="0" applyBorder="0" applyProtection="0"/>
    <xf numFmtId="197" fontId="55" fillId="0" borderId="0" applyBorder="0" applyProtection="0"/>
    <xf numFmtId="0" fontId="11" fillId="0" borderId="0"/>
    <xf numFmtId="198" fontId="56" fillId="0" borderId="0">
      <protection locked="0"/>
    </xf>
    <xf numFmtId="0" fontId="61" fillId="0" borderId="0" applyNumberFormat="0" applyFill="0" applyBorder="0" applyAlignment="0" applyProtection="0"/>
    <xf numFmtId="164" fontId="55" fillId="0" borderId="0" applyFont="0" applyFill="0" applyBorder="0" applyAlignment="0" applyProtection="0"/>
    <xf numFmtId="41" fontId="55" fillId="0" borderId="0" applyFont="0" applyFill="0" applyBorder="0" applyAlignment="0" applyProtection="0"/>
    <xf numFmtId="0" fontId="73" fillId="0" borderId="0"/>
  </cellStyleXfs>
  <cellXfs count="919">
    <xf numFmtId="0" fontId="0" fillId="0" borderId="0" xfId="0"/>
    <xf numFmtId="0" fontId="0" fillId="0" borderId="0" xfId="0" applyProtection="1">
      <protection locked="0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4" fillId="4" borderId="0" xfId="0" applyFont="1" applyFill="1" applyProtection="1">
      <protection locked="0"/>
    </xf>
    <xf numFmtId="0" fontId="5" fillId="4" borderId="0" xfId="0" applyFont="1" applyFill="1" applyAlignment="1" applyProtection="1">
      <alignment horizontal="center"/>
      <protection locked="0"/>
    </xf>
    <xf numFmtId="0" fontId="5" fillId="4" borderId="0" xfId="0" applyFont="1" applyFill="1" applyAlignment="1">
      <alignment horizontal="left" vertical="center"/>
    </xf>
    <xf numFmtId="0" fontId="7" fillId="4" borderId="0" xfId="0" applyFont="1" applyFill="1" applyProtection="1">
      <protection locked="0"/>
    </xf>
    <xf numFmtId="166" fontId="9" fillId="3" borderId="0" xfId="1" applyFont="1" applyFill="1" applyBorder="1" applyAlignment="1" applyProtection="1">
      <alignment horizontal="center"/>
    </xf>
    <xf numFmtId="0" fontId="5" fillId="4" borderId="0" xfId="0" applyFont="1" applyFill="1" applyProtection="1">
      <protection locked="0"/>
    </xf>
    <xf numFmtId="0" fontId="4" fillId="4" borderId="0" xfId="0" applyFont="1" applyFill="1" applyAlignment="1" applyProtection="1">
      <alignment horizontal="right"/>
      <protection locked="0"/>
    </xf>
    <xf numFmtId="166" fontId="0" fillId="0" borderId="0" xfId="1" applyFont="1" applyBorder="1" applyProtection="1">
      <protection locked="0"/>
    </xf>
    <xf numFmtId="167" fontId="9" fillId="4" borderId="3" xfId="8" applyFont="1" applyFill="1" applyBorder="1" applyAlignment="1">
      <alignment horizontal="center" vertical="center" wrapText="1"/>
    </xf>
    <xf numFmtId="167" fontId="9" fillId="4" borderId="4" xfId="8" applyFont="1" applyFill="1" applyBorder="1" applyAlignment="1">
      <alignment horizontal="center" vertical="center" wrapText="1"/>
    </xf>
    <xf numFmtId="167" fontId="9" fillId="5" borderId="5" xfId="8" applyFont="1" applyFill="1" applyBorder="1" applyAlignment="1">
      <alignment horizontal="center"/>
    </xf>
    <xf numFmtId="10" fontId="9" fillId="5" borderId="5" xfId="1" applyNumberFormat="1" applyFont="1" applyFill="1" applyBorder="1" applyAlignment="1" applyProtection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10" fontId="1" fillId="5" borderId="4" xfId="3" applyNumberFormat="1" applyFont="1" applyFill="1" applyBorder="1" applyAlignment="1" applyProtection="1">
      <alignment horizontal="center" vertical="center" wrapText="1"/>
    </xf>
    <xf numFmtId="167" fontId="9" fillId="5" borderId="6" xfId="8" applyFont="1" applyFill="1" applyBorder="1" applyAlignment="1">
      <alignment horizontal="center"/>
    </xf>
    <xf numFmtId="10" fontId="9" fillId="5" borderId="6" xfId="1" applyNumberFormat="1" applyFont="1" applyFill="1" applyBorder="1" applyAlignment="1" applyProtection="1">
      <alignment horizontal="center" vertical="center"/>
    </xf>
    <xf numFmtId="168" fontId="5" fillId="3" borderId="6" xfId="1" applyNumberFormat="1" applyFont="1" applyFill="1" applyBorder="1" applyAlignment="1" applyProtection="1">
      <alignment horizontal="center" vertical="center"/>
    </xf>
    <xf numFmtId="167" fontId="5" fillId="3" borderId="7" xfId="8" applyFont="1" applyFill="1" applyBorder="1" applyAlignment="1">
      <alignment horizontal="center" vertical="center"/>
    </xf>
    <xf numFmtId="167" fontId="9" fillId="5" borderId="7" xfId="8" applyFont="1" applyFill="1" applyBorder="1" applyAlignment="1">
      <alignment horizontal="center"/>
    </xf>
    <xf numFmtId="10" fontId="9" fillId="5" borderId="7" xfId="1" applyNumberFormat="1" applyFont="1" applyFill="1" applyBorder="1" applyAlignment="1" applyProtection="1">
      <alignment horizontal="center" vertical="center"/>
    </xf>
    <xf numFmtId="168" fontId="5" fillId="3" borderId="7" xfId="1" applyNumberFormat="1" applyFont="1" applyFill="1" applyBorder="1" applyAlignment="1" applyProtection="1">
      <alignment horizontal="center" vertical="center"/>
    </xf>
    <xf numFmtId="167" fontId="5" fillId="4" borderId="5" xfId="8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10" fontId="9" fillId="5" borderId="3" xfId="1" applyNumberFormat="1" applyFont="1" applyFill="1" applyBorder="1" applyAlignment="1" applyProtection="1">
      <alignment horizontal="center" vertical="center"/>
    </xf>
    <xf numFmtId="168" fontId="5" fillId="3" borderId="3" xfId="1" applyNumberFormat="1" applyFont="1" applyFill="1" applyBorder="1" applyAlignment="1" applyProtection="1">
      <alignment horizontal="center" vertical="center"/>
    </xf>
    <xf numFmtId="167" fontId="12" fillId="0" borderId="0" xfId="8" applyFont="1" applyAlignment="1">
      <alignment horizontal="center" vertical="center"/>
    </xf>
    <xf numFmtId="169" fontId="0" fillId="0" borderId="0" xfId="1" applyNumberFormat="1" applyFont="1" applyBorder="1" applyAlignment="1" applyProtection="1">
      <alignment horizontal="center" vertical="center"/>
    </xf>
    <xf numFmtId="10" fontId="0" fillId="0" borderId="0" xfId="3" applyNumberFormat="1" applyFont="1" applyBorder="1" applyAlignment="1" applyProtection="1">
      <alignment horizontal="center" vertical="center"/>
    </xf>
    <xf numFmtId="167" fontId="0" fillId="0" borderId="0" xfId="0" applyNumberFormat="1" applyProtection="1">
      <protection locked="0"/>
    </xf>
    <xf numFmtId="165" fontId="0" fillId="0" borderId="0" xfId="0" applyNumberFormat="1" applyProtection="1">
      <protection locked="0"/>
    </xf>
    <xf numFmtId="0" fontId="0" fillId="6" borderId="0" xfId="0" applyFill="1"/>
    <xf numFmtId="0" fontId="0" fillId="7" borderId="0" xfId="0" applyFill="1" applyAlignment="1">
      <alignment vertical="center" wrapText="1"/>
    </xf>
    <xf numFmtId="0" fontId="0" fillId="5" borderId="12" xfId="0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5" borderId="0" xfId="0" applyFill="1"/>
    <xf numFmtId="166" fontId="0" fillId="5" borderId="0" xfId="1" applyFont="1" applyFill="1" applyBorder="1" applyProtection="1"/>
    <xf numFmtId="0" fontId="9" fillId="4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 wrapText="1"/>
    </xf>
    <xf numFmtId="2" fontId="4" fillId="5" borderId="1" xfId="0" applyNumberFormat="1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center" vertical="center"/>
    </xf>
    <xf numFmtId="2" fontId="0" fillId="3" borderId="1" xfId="0" applyNumberFormat="1" applyFill="1" applyBorder="1"/>
    <xf numFmtId="171" fontId="0" fillId="5" borderId="1" xfId="1" applyNumberFormat="1" applyFont="1" applyFill="1" applyBorder="1" applyProtection="1"/>
    <xf numFmtId="171" fontId="0" fillId="3" borderId="1" xfId="1" applyNumberFormat="1" applyFont="1" applyFill="1" applyBorder="1" applyProtection="1"/>
    <xf numFmtId="172" fontId="0" fillId="3" borderId="1" xfId="1" applyNumberFormat="1" applyFont="1" applyFill="1" applyBorder="1" applyProtection="1"/>
    <xf numFmtId="0" fontId="10" fillId="4" borderId="13" xfId="0" applyFont="1" applyFill="1" applyBorder="1" applyAlignment="1">
      <alignment horizontal="center"/>
    </xf>
    <xf numFmtId="9" fontId="0" fillId="5" borderId="1" xfId="1" applyNumberFormat="1" applyFont="1" applyFill="1" applyBorder="1" applyProtection="1"/>
    <xf numFmtId="173" fontId="0" fillId="3" borderId="0" xfId="0" applyNumberFormat="1" applyFill="1"/>
    <xf numFmtId="0" fontId="0" fillId="0" borderId="0" xfId="0" applyAlignment="1">
      <alignment horizontal="center"/>
    </xf>
    <xf numFmtId="166" fontId="0" fillId="0" borderId="0" xfId="1" applyFont="1" applyBorder="1" applyProtection="1"/>
    <xf numFmtId="171" fontId="5" fillId="4" borderId="1" xfId="0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0" fillId="5" borderId="1" xfId="0" applyFill="1" applyBorder="1"/>
    <xf numFmtId="4" fontId="5" fillId="5" borderId="1" xfId="0" applyNumberFormat="1" applyFont="1" applyFill="1" applyBorder="1" applyAlignment="1">
      <alignment horizontal="center" vertical="center" wrapText="1"/>
    </xf>
    <xf numFmtId="174" fontId="5" fillId="5" borderId="1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/>
    </xf>
    <xf numFmtId="4" fontId="4" fillId="3" borderId="1" xfId="0" applyNumberFormat="1" applyFont="1" applyFill="1" applyBorder="1" applyAlignment="1">
      <alignment horizontal="right" vertical="center"/>
    </xf>
    <xf numFmtId="4" fontId="9" fillId="5" borderId="1" xfId="0" applyNumberFormat="1" applyFont="1" applyFill="1" applyBorder="1" applyAlignment="1">
      <alignment vertical="center" wrapText="1"/>
    </xf>
    <xf numFmtId="2" fontId="10" fillId="3" borderId="1" xfId="0" applyNumberFormat="1" applyFont="1" applyFill="1" applyBorder="1"/>
    <xf numFmtId="0" fontId="10" fillId="4" borderId="13" xfId="1" applyNumberFormat="1" applyFont="1" applyFill="1" applyBorder="1" applyAlignment="1" applyProtection="1">
      <alignment horizontal="center"/>
    </xf>
    <xf numFmtId="0" fontId="0" fillId="4" borderId="0" xfId="0" applyFill="1" applyAlignment="1">
      <alignment horizontal="center"/>
    </xf>
    <xf numFmtId="3" fontId="9" fillId="4" borderId="0" xfId="0" applyNumberFormat="1" applyFont="1" applyFill="1"/>
    <xf numFmtId="0" fontId="9" fillId="4" borderId="14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 wrapText="1"/>
    </xf>
    <xf numFmtId="4" fontId="0" fillId="3" borderId="0" xfId="0" applyNumberFormat="1" applyFill="1"/>
    <xf numFmtId="4" fontId="4" fillId="5" borderId="1" xfId="0" applyNumberFormat="1" applyFont="1" applyFill="1" applyBorder="1" applyAlignment="1">
      <alignment horizontal="right" vertical="center"/>
    </xf>
    <xf numFmtId="2" fontId="0" fillId="3" borderId="0" xfId="0" applyNumberFormat="1" applyFill="1"/>
    <xf numFmtId="3" fontId="14" fillId="0" borderId="0" xfId="0" applyNumberFormat="1" applyFont="1"/>
    <xf numFmtId="0" fontId="9" fillId="4" borderId="0" xfId="0" applyFont="1" applyFill="1" applyAlignment="1">
      <alignment horizontal="center" vertical="center" wrapText="1"/>
    </xf>
    <xf numFmtId="0" fontId="55" fillId="3" borderId="0" xfId="9" applyFill="1"/>
    <xf numFmtId="0" fontId="0" fillId="4" borderId="0" xfId="0" applyFill="1"/>
    <xf numFmtId="166" fontId="0" fillId="4" borderId="0" xfId="1" applyFont="1" applyFill="1" applyBorder="1" applyProtection="1"/>
    <xf numFmtId="3" fontId="0" fillId="3" borderId="0" xfId="0" applyNumberFormat="1" applyFill="1"/>
    <xf numFmtId="0" fontId="4" fillId="0" borderId="0" xfId="0" applyFont="1"/>
    <xf numFmtId="166" fontId="0" fillId="0" borderId="0" xfId="0" applyNumberFormat="1"/>
    <xf numFmtId="0" fontId="15" fillId="0" borderId="0" xfId="0" applyFont="1"/>
    <xf numFmtId="0" fontId="16" fillId="8" borderId="0" xfId="0" applyFont="1" applyFill="1"/>
    <xf numFmtId="0" fontId="0" fillId="9" borderId="0" xfId="0" applyFill="1"/>
    <xf numFmtId="0" fontId="17" fillId="7" borderId="6" xfId="9" applyFont="1" applyFill="1" applyBorder="1" applyAlignment="1">
      <alignment horizontal="center" vertical="center" wrapText="1"/>
    </xf>
    <xf numFmtId="0" fontId="17" fillId="7" borderId="6" xfId="9" applyFont="1" applyFill="1" applyBorder="1" applyAlignment="1">
      <alignment horizontal="center" vertical="center"/>
    </xf>
    <xf numFmtId="0" fontId="17" fillId="10" borderId="6" xfId="9" applyFont="1" applyFill="1" applyBorder="1" applyAlignment="1">
      <alignment horizontal="center" vertical="center" wrapText="1"/>
    </xf>
    <xf numFmtId="9" fontId="17" fillId="10" borderId="6" xfId="9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7" fillId="4" borderId="6" xfId="9" applyFont="1" applyFill="1" applyBorder="1" applyAlignment="1">
      <alignment horizontal="center" vertical="center"/>
    </xf>
    <xf numFmtId="0" fontId="17" fillId="4" borderId="6" xfId="9" applyFont="1" applyFill="1" applyBorder="1" applyAlignment="1">
      <alignment horizontal="left" vertical="center" wrapText="1"/>
    </xf>
    <xf numFmtId="0" fontId="17" fillId="4" borderId="15" xfId="9" applyFont="1" applyFill="1" applyBorder="1" applyAlignment="1">
      <alignment vertical="center"/>
    </xf>
    <xf numFmtId="0" fontId="17" fillId="4" borderId="16" xfId="9" applyFont="1" applyFill="1" applyBorder="1" applyAlignment="1">
      <alignment vertical="center"/>
    </xf>
    <xf numFmtId="175" fontId="17" fillId="4" borderId="6" xfId="9" applyNumberFormat="1" applyFont="1" applyFill="1" applyBorder="1" applyAlignment="1">
      <alignment horizontal="right" vertical="center"/>
    </xf>
    <xf numFmtId="0" fontId="17" fillId="11" borderId="6" xfId="9" applyFont="1" applyFill="1" applyBorder="1" applyAlignment="1">
      <alignment horizontal="center" vertical="center"/>
    </xf>
    <xf numFmtId="0" fontId="18" fillId="5" borderId="6" xfId="9" applyFont="1" applyFill="1" applyBorder="1" applyAlignment="1">
      <alignment horizontal="left" vertical="center" wrapText="1"/>
    </xf>
    <xf numFmtId="0" fontId="18" fillId="5" borderId="6" xfId="9" applyFont="1" applyFill="1" applyBorder="1" applyAlignment="1">
      <alignment horizontal="center" vertical="center"/>
    </xf>
    <xf numFmtId="0" fontId="15" fillId="5" borderId="6" xfId="0" applyFont="1" applyFill="1" applyBorder="1"/>
    <xf numFmtId="0" fontId="18" fillId="4" borderId="6" xfId="9" applyFont="1" applyFill="1" applyBorder="1" applyAlignment="1">
      <alignment horizontal="left" vertical="center" wrapText="1"/>
    </xf>
    <xf numFmtId="0" fontId="18" fillId="4" borderId="6" xfId="9" applyFont="1" applyFill="1" applyBorder="1" applyAlignment="1">
      <alignment horizontal="center" vertical="center"/>
    </xf>
    <xf numFmtId="0" fontId="17" fillId="8" borderId="6" xfId="9" applyFont="1" applyFill="1" applyBorder="1" applyAlignment="1">
      <alignment horizontal="center" vertical="center"/>
    </xf>
    <xf numFmtId="0" fontId="17" fillId="0" borderId="6" xfId="9" applyFont="1" applyBorder="1" applyAlignment="1">
      <alignment horizontal="center" vertical="center"/>
    </xf>
    <xf numFmtId="0" fontId="17" fillId="6" borderId="6" xfId="9" applyFont="1" applyFill="1" applyBorder="1" applyAlignment="1">
      <alignment horizontal="center" vertical="center"/>
    </xf>
    <xf numFmtId="166" fontId="17" fillId="11" borderId="6" xfId="5" applyFont="1" applyFill="1" applyBorder="1" applyAlignment="1" applyProtection="1">
      <alignment horizontal="center" vertical="center"/>
    </xf>
    <xf numFmtId="170" fontId="18" fillId="5" borderId="6" xfId="5" applyNumberFormat="1" applyFont="1" applyFill="1" applyBorder="1" applyAlignment="1" applyProtection="1">
      <alignment horizontal="right" vertical="center"/>
    </xf>
    <xf numFmtId="0" fontId="18" fillId="5" borderId="15" xfId="9" applyFont="1" applyFill="1" applyBorder="1" applyAlignment="1">
      <alignment horizontal="center" vertical="center"/>
    </xf>
    <xf numFmtId="170" fontId="18" fillId="5" borderId="16" xfId="5" applyNumberFormat="1" applyFont="1" applyFill="1" applyBorder="1" applyAlignment="1" applyProtection="1">
      <alignment horizontal="right" vertical="center"/>
    </xf>
    <xf numFmtId="0" fontId="18" fillId="11" borderId="6" xfId="9" applyFont="1" applyFill="1" applyBorder="1" applyAlignment="1">
      <alignment horizontal="center" vertical="center"/>
    </xf>
    <xf numFmtId="0" fontId="17" fillId="5" borderId="6" xfId="9" applyFont="1" applyFill="1" applyBorder="1" applyAlignment="1">
      <alignment horizontal="left" vertical="center" wrapText="1"/>
    </xf>
    <xf numFmtId="0" fontId="17" fillId="5" borderId="6" xfId="9" applyFont="1" applyFill="1" applyBorder="1" applyAlignment="1">
      <alignment horizontal="center" vertical="center"/>
    </xf>
    <xf numFmtId="175" fontId="18" fillId="11" borderId="6" xfId="9" applyNumberFormat="1" applyFont="1" applyFill="1" applyBorder="1" applyAlignment="1">
      <alignment horizontal="right" vertical="center" wrapText="1"/>
    </xf>
    <xf numFmtId="0" fontId="15" fillId="0" borderId="6" xfId="0" applyFont="1" applyBorder="1"/>
    <xf numFmtId="175" fontId="18" fillId="0" borderId="6" xfId="9" applyNumberFormat="1" applyFont="1" applyBorder="1" applyAlignment="1">
      <alignment horizontal="right" vertical="center" wrapText="1"/>
    </xf>
    <xf numFmtId="170" fontId="17" fillId="11" borderId="6" xfId="5" applyNumberFormat="1" applyFont="1" applyFill="1" applyBorder="1" applyAlignment="1" applyProtection="1">
      <alignment horizontal="right" vertical="center"/>
    </xf>
    <xf numFmtId="170" fontId="19" fillId="0" borderId="6" xfId="5" applyNumberFormat="1" applyFont="1" applyBorder="1" applyAlignment="1" applyProtection="1">
      <alignment horizontal="right" vertical="center"/>
    </xf>
    <xf numFmtId="175" fontId="18" fillId="4" borderId="6" xfId="9" applyNumberFormat="1" applyFont="1" applyFill="1" applyBorder="1" applyAlignment="1">
      <alignment horizontal="right" vertical="center" wrapText="1"/>
    </xf>
    <xf numFmtId="179" fontId="17" fillId="6" borderId="6" xfId="1" applyNumberFormat="1" applyFont="1" applyFill="1" applyBorder="1" applyAlignment="1" applyProtection="1">
      <alignment horizontal="center" vertical="center"/>
    </xf>
    <xf numFmtId="170" fontId="18" fillId="5" borderId="6" xfId="5" applyNumberFormat="1" applyFont="1" applyFill="1" applyBorder="1" applyAlignment="1" applyProtection="1">
      <alignment horizontal="right" vertical="center" wrapText="1"/>
    </xf>
    <xf numFmtId="2" fontId="18" fillId="5" borderId="6" xfId="9" applyNumberFormat="1" applyFont="1" applyFill="1" applyBorder="1" applyAlignment="1">
      <alignment horizontal="center" vertical="center"/>
    </xf>
    <xf numFmtId="0" fontId="17" fillId="9" borderId="6" xfId="9" applyFont="1" applyFill="1" applyBorder="1" applyAlignment="1">
      <alignment horizontal="center" vertical="center"/>
    </xf>
    <xf numFmtId="170" fontId="18" fillId="0" borderId="6" xfId="1" applyNumberFormat="1" applyFont="1" applyBorder="1" applyAlignment="1" applyProtection="1">
      <alignment horizontal="right" vertical="center" wrapText="1"/>
    </xf>
    <xf numFmtId="1" fontId="18" fillId="5" borderId="6" xfId="9" applyNumberFormat="1" applyFont="1" applyFill="1" applyBorder="1" applyAlignment="1">
      <alignment horizontal="center" vertical="center"/>
    </xf>
    <xf numFmtId="170" fontId="18" fillId="11" borderId="6" xfId="5" applyNumberFormat="1" applyFont="1" applyFill="1" applyBorder="1" applyAlignment="1" applyProtection="1">
      <alignment horizontal="right" vertical="center"/>
    </xf>
    <xf numFmtId="0" fontId="18" fillId="5" borderId="6" xfId="9" applyFont="1" applyFill="1" applyBorder="1" applyAlignment="1">
      <alignment horizontal="center" vertical="center" wrapText="1"/>
    </xf>
    <xf numFmtId="176" fontId="0" fillId="0" borderId="0" xfId="0" applyNumberFormat="1"/>
    <xf numFmtId="176" fontId="17" fillId="7" borderId="6" xfId="9" applyNumberFormat="1" applyFont="1" applyFill="1" applyBorder="1" applyAlignment="1">
      <alignment horizontal="center" vertical="center" wrapText="1"/>
    </xf>
    <xf numFmtId="176" fontId="17" fillId="4" borderId="6" xfId="9" applyNumberFormat="1" applyFont="1" applyFill="1" applyBorder="1" applyAlignment="1">
      <alignment horizontal="right" vertical="center"/>
    </xf>
    <xf numFmtId="176" fontId="18" fillId="11" borderId="6" xfId="9" applyNumberFormat="1" applyFont="1" applyFill="1" applyBorder="1" applyAlignment="1">
      <alignment horizontal="right" vertical="center" wrapText="1"/>
    </xf>
    <xf numFmtId="176" fontId="18" fillId="4" borderId="6" xfId="9" applyNumberFormat="1" applyFont="1" applyFill="1" applyBorder="1" applyAlignment="1">
      <alignment horizontal="right" vertical="center" wrapText="1"/>
    </xf>
    <xf numFmtId="0" fontId="4" fillId="4" borderId="0" xfId="0" applyFont="1" applyFill="1" applyAlignment="1">
      <alignment horizontal="center" vertical="center"/>
    </xf>
    <xf numFmtId="180" fontId="4" fillId="4" borderId="0" xfId="1" applyNumberFormat="1" applyFont="1" applyFill="1" applyBorder="1" applyAlignment="1" applyProtection="1">
      <alignment horizontal="center" wrapText="1"/>
    </xf>
    <xf numFmtId="180" fontId="4" fillId="5" borderId="0" xfId="1" applyNumberFormat="1" applyFont="1" applyFill="1" applyBorder="1" applyAlignment="1" applyProtection="1">
      <alignment horizontal="center" wrapText="1"/>
    </xf>
    <xf numFmtId="180" fontId="4" fillId="11" borderId="0" xfId="1" applyNumberFormat="1" applyFont="1" applyFill="1" applyBorder="1" applyAlignment="1" applyProtection="1">
      <alignment horizontal="center" vertical="center" wrapText="1"/>
    </xf>
    <xf numFmtId="0" fontId="4" fillId="5" borderId="0" xfId="0" applyFont="1" applyFill="1"/>
    <xf numFmtId="0" fontId="0" fillId="5" borderId="0" xfId="0" applyFill="1" applyAlignment="1">
      <alignment horizontal="center"/>
    </xf>
    <xf numFmtId="166" fontId="0" fillId="12" borderId="0" xfId="1" applyFont="1" applyFill="1" applyBorder="1" applyProtection="1"/>
    <xf numFmtId="180" fontId="0" fillId="3" borderId="0" xfId="1" applyNumberFormat="1" applyFont="1" applyFill="1" applyBorder="1" applyProtection="1"/>
    <xf numFmtId="0" fontId="0" fillId="5" borderId="0" xfId="0" applyFill="1" applyAlignment="1">
      <alignment horizontal="left"/>
    </xf>
    <xf numFmtId="165" fontId="0" fillId="3" borderId="0" xfId="0" applyNumberFormat="1" applyFill="1"/>
    <xf numFmtId="166" fontId="0" fillId="3" borderId="0" xfId="1" applyFont="1" applyFill="1" applyBorder="1" applyProtection="1"/>
    <xf numFmtId="181" fontId="0" fillId="3" borderId="0" xfId="0" applyNumberFormat="1" applyFill="1"/>
    <xf numFmtId="180" fontId="0" fillId="3" borderId="0" xfId="0" applyNumberFormat="1" applyFill="1"/>
    <xf numFmtId="0" fontId="0" fillId="5" borderId="0" xfId="0" applyFill="1" applyAlignment="1">
      <alignment horizontal="right"/>
    </xf>
    <xf numFmtId="0" fontId="0" fillId="0" borderId="0" xfId="0" applyAlignment="1">
      <alignment horizontal="left"/>
    </xf>
    <xf numFmtId="180" fontId="0" fillId="0" borderId="0" xfId="1" applyNumberFormat="1" applyFont="1" applyBorder="1" applyProtection="1"/>
    <xf numFmtId="0" fontId="4" fillId="5" borderId="0" xfId="0" applyFont="1" applyFill="1" applyAlignment="1">
      <alignment horizontal="left"/>
    </xf>
    <xf numFmtId="180" fontId="0" fillId="12" borderId="0" xfId="1" applyNumberFormat="1" applyFont="1" applyFill="1" applyBorder="1" applyProtection="1"/>
    <xf numFmtId="0" fontId="4" fillId="4" borderId="0" xfId="0" applyFont="1" applyFill="1"/>
    <xf numFmtId="0" fontId="4" fillId="4" borderId="0" xfId="0" applyFont="1" applyFill="1" applyAlignment="1">
      <alignment horizontal="center"/>
    </xf>
    <xf numFmtId="181" fontId="0" fillId="4" borderId="0" xfId="0" applyNumberFormat="1" applyFill="1"/>
    <xf numFmtId="0" fontId="0" fillId="5" borderId="6" xfId="0" applyFill="1" applyBorder="1" applyAlignment="1" applyProtection="1">
      <alignment horizontal="center"/>
      <protection locked="0"/>
    </xf>
    <xf numFmtId="0" fontId="0" fillId="4" borderId="6" xfId="0" applyFill="1" applyBorder="1" applyAlignment="1" applyProtection="1">
      <alignment horizontal="center"/>
      <protection locked="0"/>
    </xf>
    <xf numFmtId="166" fontId="0" fillId="3" borderId="6" xfId="1" applyFont="1" applyFill="1" applyBorder="1" applyProtection="1"/>
    <xf numFmtId="0" fontId="4" fillId="0" borderId="0" xfId="0" applyFont="1" applyAlignment="1">
      <alignment horizontal="center"/>
    </xf>
    <xf numFmtId="181" fontId="0" fillId="0" borderId="0" xfId="0" applyNumberFormat="1"/>
    <xf numFmtId="176" fontId="0" fillId="3" borderId="0" xfId="0" applyNumberFormat="1" applyFill="1"/>
    <xf numFmtId="176" fontId="0" fillId="11" borderId="0" xfId="0" applyNumberFormat="1" applyFill="1"/>
    <xf numFmtId="2" fontId="0" fillId="0" borderId="0" xfId="0" applyNumberFormat="1"/>
    <xf numFmtId="0" fontId="0" fillId="11" borderId="0" xfId="0" applyFill="1"/>
    <xf numFmtId="0" fontId="24" fillId="13" borderId="17" xfId="0" applyFont="1" applyFill="1" applyBorder="1"/>
    <xf numFmtId="0" fontId="24" fillId="13" borderId="18" xfId="0" applyFont="1" applyFill="1" applyBorder="1" applyAlignment="1">
      <alignment horizontal="center"/>
    </xf>
    <xf numFmtId="0" fontId="0" fillId="14" borderId="0" xfId="0" applyFill="1"/>
    <xf numFmtId="0" fontId="0" fillId="13" borderId="19" xfId="0" applyFill="1" applyBorder="1"/>
    <xf numFmtId="0" fontId="0" fillId="13" borderId="20" xfId="0" applyFill="1" applyBorder="1"/>
    <xf numFmtId="0" fontId="25" fillId="13" borderId="21" xfId="0" applyFont="1" applyFill="1" applyBorder="1" applyAlignment="1">
      <alignment horizontal="center"/>
    </xf>
    <xf numFmtId="0" fontId="0" fillId="13" borderId="6" xfId="0" applyFill="1" applyBorder="1"/>
    <xf numFmtId="0" fontId="25" fillId="13" borderId="6" xfId="0" applyFont="1" applyFill="1" applyBorder="1" applyAlignment="1">
      <alignment horizontal="center"/>
    </xf>
    <xf numFmtId="178" fontId="9" fillId="11" borderId="6" xfId="1" applyNumberFormat="1" applyFont="1" applyFill="1" applyBorder="1" applyProtection="1"/>
    <xf numFmtId="182" fontId="0" fillId="11" borderId="6" xfId="1" applyNumberFormat="1" applyFont="1" applyFill="1" applyBorder="1" applyProtection="1"/>
    <xf numFmtId="178" fontId="0" fillId="11" borderId="15" xfId="1" applyNumberFormat="1" applyFont="1" applyFill="1" applyBorder="1" applyProtection="1"/>
    <xf numFmtId="178" fontId="0" fillId="11" borderId="22" xfId="1" applyNumberFormat="1" applyFont="1" applyFill="1" applyBorder="1" applyProtection="1"/>
    <xf numFmtId="0" fontId="9" fillId="14" borderId="16" xfId="0" applyFont="1" applyFill="1" applyBorder="1"/>
    <xf numFmtId="166" fontId="0" fillId="11" borderId="15" xfId="1" applyFont="1" applyFill="1" applyBorder="1" applyProtection="1"/>
    <xf numFmtId="0" fontId="0" fillId="11" borderId="16" xfId="0" applyFill="1" applyBorder="1"/>
    <xf numFmtId="0" fontId="25" fillId="13" borderId="6" xfId="0" applyFont="1" applyFill="1" applyBorder="1"/>
    <xf numFmtId="3" fontId="0" fillId="11" borderId="6" xfId="0" applyNumberFormat="1" applyFill="1" applyBorder="1" applyAlignment="1">
      <alignment horizontal="center"/>
    </xf>
    <xf numFmtId="0" fontId="11" fillId="11" borderId="16" xfId="0" applyFont="1" applyFill="1" applyBorder="1"/>
    <xf numFmtId="166" fontId="27" fillId="11" borderId="15" xfId="1" applyFont="1" applyFill="1" applyBorder="1" applyProtection="1"/>
    <xf numFmtId="0" fontId="9" fillId="11" borderId="16" xfId="0" applyFont="1" applyFill="1" applyBorder="1"/>
    <xf numFmtId="2" fontId="25" fillId="13" borderId="6" xfId="0" applyNumberFormat="1" applyFont="1" applyFill="1" applyBorder="1"/>
    <xf numFmtId="3" fontId="0" fillId="11" borderId="23" xfId="0" applyNumberFormat="1" applyFill="1" applyBorder="1" applyAlignment="1">
      <alignment horizontal="center"/>
    </xf>
    <xf numFmtId="166" fontId="0" fillId="11" borderId="24" xfId="1" applyFont="1" applyFill="1" applyBorder="1" applyProtection="1"/>
    <xf numFmtId="0" fontId="0" fillId="11" borderId="25" xfId="0" applyFill="1" applyBorder="1"/>
    <xf numFmtId="0" fontId="11" fillId="0" borderId="0" xfId="0" applyFont="1"/>
    <xf numFmtId="178" fontId="9" fillId="11" borderId="16" xfId="1" applyNumberFormat="1" applyFont="1" applyFill="1" applyBorder="1" applyProtection="1"/>
    <xf numFmtId="0" fontId="0" fillId="11" borderId="28" xfId="0" applyFill="1" applyBorder="1"/>
    <xf numFmtId="0" fontId="0" fillId="11" borderId="29" xfId="0" applyFill="1" applyBorder="1"/>
    <xf numFmtId="0" fontId="0" fillId="11" borderId="30" xfId="0" applyFill="1" applyBorder="1"/>
    <xf numFmtId="0" fontId="0" fillId="11" borderId="32" xfId="0" applyFill="1" applyBorder="1"/>
    <xf numFmtId="0" fontId="0" fillId="11" borderId="33" xfId="0" applyFill="1" applyBorder="1"/>
    <xf numFmtId="0" fontId="9" fillId="14" borderId="27" xfId="0" applyFont="1" applyFill="1" applyBorder="1" applyAlignment="1">
      <alignment horizontal="left"/>
    </xf>
    <xf numFmtId="178" fontId="0" fillId="11" borderId="34" xfId="1" applyNumberFormat="1" applyFont="1" applyFill="1" applyBorder="1" applyProtection="1"/>
    <xf numFmtId="183" fontId="26" fillId="16" borderId="35" xfId="0" applyNumberFormat="1" applyFont="1" applyFill="1" applyBorder="1"/>
    <xf numFmtId="0" fontId="0" fillId="11" borderId="36" xfId="0" applyFill="1" applyBorder="1"/>
    <xf numFmtId="0" fontId="0" fillId="11" borderId="37" xfId="0" applyFill="1" applyBorder="1"/>
    <xf numFmtId="183" fontId="26" fillId="16" borderId="38" xfId="1" applyNumberFormat="1" applyFont="1" applyFill="1" applyBorder="1" applyProtection="1"/>
    <xf numFmtId="0" fontId="0" fillId="11" borderId="39" xfId="0" applyFill="1" applyBorder="1"/>
    <xf numFmtId="0" fontId="0" fillId="11" borderId="40" xfId="0" applyFill="1" applyBorder="1"/>
    <xf numFmtId="0" fontId="0" fillId="11" borderId="41" xfId="0" applyFill="1" applyBorder="1"/>
    <xf numFmtId="0" fontId="9" fillId="14" borderId="27" xfId="0" applyFont="1" applyFill="1" applyBorder="1" applyAlignment="1">
      <alignment horizontal="left" vertical="center" wrapText="1"/>
    </xf>
    <xf numFmtId="167" fontId="9" fillId="14" borderId="16" xfId="0" applyNumberFormat="1" applyFont="1" applyFill="1" applyBorder="1" applyAlignment="1">
      <alignment wrapText="1"/>
    </xf>
    <xf numFmtId="179" fontId="0" fillId="11" borderId="24" xfId="1" applyNumberFormat="1" applyFont="1" applyFill="1" applyBorder="1" applyProtection="1"/>
    <xf numFmtId="0" fontId="0" fillId="11" borderId="42" xfId="0" applyFill="1" applyBorder="1"/>
    <xf numFmtId="0" fontId="0" fillId="11" borderId="43" xfId="0" applyFill="1" applyBorder="1"/>
    <xf numFmtId="1" fontId="28" fillId="11" borderId="33" xfId="0" applyNumberFormat="1" applyFont="1" applyFill="1" applyBorder="1" applyAlignment="1">
      <alignment horizontal="left"/>
    </xf>
    <xf numFmtId="13" fontId="0" fillId="11" borderId="15" xfId="0" applyNumberFormat="1" applyFill="1" applyBorder="1"/>
    <xf numFmtId="0" fontId="0" fillId="11" borderId="24" xfId="0" applyFill="1" applyBorder="1"/>
    <xf numFmtId="3" fontId="28" fillId="11" borderId="33" xfId="1" applyNumberFormat="1" applyFont="1" applyFill="1" applyBorder="1" applyAlignment="1" applyProtection="1">
      <alignment horizontal="left" vertical="top"/>
    </xf>
    <xf numFmtId="166" fontId="0" fillId="11" borderId="42" xfId="1" applyFont="1" applyFill="1" applyBorder="1" applyProtection="1"/>
    <xf numFmtId="0" fontId="11" fillId="11" borderId="44" xfId="0" applyFont="1" applyFill="1" applyBorder="1"/>
    <xf numFmtId="0" fontId="0" fillId="11" borderId="34" xfId="0" applyFill="1" applyBorder="1"/>
    <xf numFmtId="0" fontId="0" fillId="11" borderId="20" xfId="0" applyFill="1" applyBorder="1"/>
    <xf numFmtId="1" fontId="28" fillId="11" borderId="0" xfId="0" applyNumberFormat="1" applyFont="1" applyFill="1" applyAlignment="1">
      <alignment horizontal="right"/>
    </xf>
    <xf numFmtId="0" fontId="11" fillId="11" borderId="0" xfId="0" applyFont="1" applyFill="1"/>
    <xf numFmtId="167" fontId="0" fillId="11" borderId="34" xfId="0" applyNumberFormat="1" applyFill="1" applyBorder="1"/>
    <xf numFmtId="0" fontId="0" fillId="11" borderId="44" xfId="0" applyFill="1" applyBorder="1"/>
    <xf numFmtId="167" fontId="0" fillId="11" borderId="15" xfId="0" applyNumberFormat="1" applyFill="1" applyBorder="1"/>
    <xf numFmtId="1" fontId="28" fillId="11" borderId="0" xfId="0" applyNumberFormat="1" applyFont="1" applyFill="1"/>
    <xf numFmtId="178" fontId="9" fillId="11" borderId="16" xfId="1" applyNumberFormat="1" applyFont="1" applyFill="1" applyBorder="1" applyAlignment="1" applyProtection="1">
      <alignment vertical="center" wrapText="1"/>
    </xf>
    <xf numFmtId="178" fontId="9" fillId="11" borderId="6" xfId="1" applyNumberFormat="1" applyFont="1" applyFill="1" applyBorder="1" applyAlignment="1" applyProtection="1">
      <alignment vertical="center" wrapText="1"/>
    </xf>
    <xf numFmtId="182" fontId="0" fillId="11" borderId="6" xfId="1" applyNumberFormat="1" applyFont="1" applyFill="1" applyBorder="1" applyAlignment="1" applyProtection="1">
      <alignment vertical="center" wrapText="1"/>
    </xf>
    <xf numFmtId="2" fontId="0" fillId="0" borderId="24" xfId="0" applyNumberFormat="1" applyBorder="1"/>
    <xf numFmtId="0" fontId="9" fillId="14" borderId="38" xfId="0" applyFont="1" applyFill="1" applyBorder="1" applyAlignment="1">
      <alignment horizontal="left"/>
    </xf>
    <xf numFmtId="0" fontId="9" fillId="14" borderId="46" xfId="0" applyFont="1" applyFill="1" applyBorder="1"/>
    <xf numFmtId="2" fontId="0" fillId="11" borderId="47" xfId="0" applyNumberFormat="1" applyFill="1" applyBorder="1"/>
    <xf numFmtId="0" fontId="0" fillId="11" borderId="12" xfId="0" applyFill="1" applyBorder="1"/>
    <xf numFmtId="0" fontId="0" fillId="11" borderId="48" xfId="0" applyFill="1" applyBorder="1"/>
    <xf numFmtId="0" fontId="27" fillId="0" borderId="24" xfId="0" applyFont="1" applyBorder="1" applyAlignment="1">
      <alignment vertical="center" wrapText="1"/>
    </xf>
    <xf numFmtId="0" fontId="27" fillId="0" borderId="0" xfId="0" applyFont="1" applyAlignment="1">
      <alignment vertical="center" wrapText="1"/>
    </xf>
    <xf numFmtId="0" fontId="32" fillId="13" borderId="50" xfId="0" applyFont="1" applyFill="1" applyBorder="1" applyAlignment="1">
      <alignment horizontal="center"/>
    </xf>
    <xf numFmtId="0" fontId="25" fillId="13" borderId="50" xfId="0" applyFont="1" applyFill="1" applyBorder="1" applyAlignment="1">
      <alignment horizontal="center" wrapText="1"/>
    </xf>
    <xf numFmtId="0" fontId="25" fillId="13" borderId="50" xfId="0" applyFont="1" applyFill="1" applyBorder="1" applyAlignment="1">
      <alignment horizontal="center"/>
    </xf>
    <xf numFmtId="0" fontId="25" fillId="13" borderId="51" xfId="0" applyFont="1" applyFill="1" applyBorder="1"/>
    <xf numFmtId="0" fontId="25" fillId="0" borderId="0" xfId="0" applyFont="1" applyAlignment="1">
      <alignment horizontal="center" wrapText="1"/>
    </xf>
    <xf numFmtId="0" fontId="25" fillId="13" borderId="52" xfId="0" applyFont="1" applyFill="1" applyBorder="1" applyAlignment="1">
      <alignment horizontal="center"/>
    </xf>
    <xf numFmtId="0" fontId="25" fillId="13" borderId="53" xfId="0" applyFont="1" applyFill="1" applyBorder="1"/>
    <xf numFmtId="0" fontId="25" fillId="0" borderId="0" xfId="0" applyFont="1" applyAlignment="1">
      <alignment horizontal="center"/>
    </xf>
    <xf numFmtId="3" fontId="9" fillId="14" borderId="27" xfId="1" applyNumberFormat="1" applyFont="1" applyFill="1" applyBorder="1" applyAlignment="1" applyProtection="1">
      <alignment horizontal="center"/>
    </xf>
    <xf numFmtId="2" fontId="0" fillId="11" borderId="52" xfId="1" applyNumberFormat="1" applyFont="1" applyFill="1" applyBorder="1" applyAlignment="1" applyProtection="1">
      <alignment horizontal="center"/>
    </xf>
    <xf numFmtId="2" fontId="0" fillId="11" borderId="16" xfId="1" applyNumberFormat="1" applyFont="1" applyFill="1" applyBorder="1" applyAlignment="1" applyProtection="1">
      <alignment horizontal="center"/>
    </xf>
    <xf numFmtId="2" fontId="0" fillId="11" borderId="6" xfId="0" applyNumberFormat="1" applyFill="1" applyBorder="1" applyAlignment="1">
      <alignment horizontal="center"/>
    </xf>
    <xf numFmtId="2" fontId="0" fillId="11" borderId="16" xfId="0" applyNumberFormat="1" applyFill="1" applyBorder="1" applyAlignment="1">
      <alignment horizontal="center"/>
    </xf>
    <xf numFmtId="184" fontId="0" fillId="11" borderId="52" xfId="1" applyNumberFormat="1" applyFont="1" applyFill="1" applyBorder="1" applyAlignment="1" applyProtection="1">
      <alignment horizontal="center"/>
    </xf>
    <xf numFmtId="13" fontId="0" fillId="0" borderId="34" xfId="0" applyNumberFormat="1" applyBorder="1" applyAlignment="1">
      <alignment horizontal="center"/>
    </xf>
    <xf numFmtId="4" fontId="0" fillId="11" borderId="6" xfId="0" applyNumberFormat="1" applyFill="1" applyBorder="1" applyAlignment="1">
      <alignment horizontal="center"/>
    </xf>
    <xf numFmtId="184" fontId="0" fillId="11" borderId="6" xfId="1" applyNumberFormat="1" applyFont="1" applyFill="1" applyBorder="1" applyAlignment="1" applyProtection="1">
      <alignment horizontal="left"/>
    </xf>
    <xf numFmtId="2" fontId="0" fillId="11" borderId="6" xfId="0" applyNumberFormat="1" applyFill="1" applyBorder="1"/>
    <xf numFmtId="3" fontId="0" fillId="11" borderId="54" xfId="0" applyNumberFormat="1" applyFill="1" applyBorder="1" applyAlignment="1">
      <alignment horizontal="center"/>
    </xf>
    <xf numFmtId="13" fontId="11" fillId="0" borderId="0" xfId="0" applyNumberFormat="1" applyFont="1"/>
    <xf numFmtId="2" fontId="11" fillId="0" borderId="0" xfId="0" applyNumberFormat="1" applyFont="1"/>
    <xf numFmtId="185" fontId="0" fillId="0" borderId="0" xfId="2" applyFont="1" applyBorder="1" applyProtection="1"/>
    <xf numFmtId="1" fontId="0" fillId="0" borderId="0" xfId="0" applyNumberFormat="1"/>
    <xf numFmtId="2" fontId="0" fillId="11" borderId="6" xfId="1" applyNumberFormat="1" applyFont="1" applyFill="1" applyBorder="1" applyAlignment="1" applyProtection="1">
      <alignment horizontal="center"/>
    </xf>
    <xf numFmtId="3" fontId="0" fillId="11" borderId="22" xfId="0" applyNumberFormat="1" applyFill="1" applyBorder="1" applyAlignment="1">
      <alignment horizontal="center"/>
    </xf>
    <xf numFmtId="0" fontId="0" fillId="14" borderId="32" xfId="0" applyFill="1" applyBorder="1"/>
    <xf numFmtId="2" fontId="0" fillId="14" borderId="0" xfId="0" applyNumberFormat="1" applyFill="1"/>
    <xf numFmtId="0" fontId="0" fillId="11" borderId="6" xfId="0" applyFill="1" applyBorder="1"/>
    <xf numFmtId="3" fontId="0" fillId="11" borderId="53" xfId="0" applyNumberFormat="1" applyFill="1" applyBorder="1" applyAlignment="1">
      <alignment horizontal="center"/>
    </xf>
    <xf numFmtId="186" fontId="0" fillId="0" borderId="0" xfId="0" applyNumberFormat="1"/>
    <xf numFmtId="0" fontId="0" fillId="14" borderId="0" xfId="0" applyFill="1" applyAlignment="1">
      <alignment horizontal="center"/>
    </xf>
    <xf numFmtId="0" fontId="0" fillId="14" borderId="55" xfId="0" applyFill="1" applyBorder="1"/>
    <xf numFmtId="0" fontId="0" fillId="0" borderId="32" xfId="0" applyBorder="1"/>
    <xf numFmtId="2" fontId="32" fillId="13" borderId="42" xfId="0" applyNumberFormat="1" applyFont="1" applyFill="1" applyBorder="1" applyAlignment="1">
      <alignment horizontal="center"/>
    </xf>
    <xf numFmtId="2" fontId="25" fillId="13" borderId="23" xfId="0" applyNumberFormat="1" applyFont="1" applyFill="1" applyBorder="1" applyAlignment="1">
      <alignment horizontal="center"/>
    </xf>
    <xf numFmtId="0" fontId="25" fillId="13" borderId="23" xfId="0" applyFont="1" applyFill="1" applyBorder="1" applyAlignment="1">
      <alignment horizontal="center"/>
    </xf>
    <xf numFmtId="0" fontId="25" fillId="13" borderId="42" xfId="0" applyFont="1" applyFill="1" applyBorder="1" applyAlignment="1">
      <alignment horizontal="center"/>
    </xf>
    <xf numFmtId="0" fontId="29" fillId="13" borderId="6" xfId="0" applyFont="1" applyFill="1" applyBorder="1" applyAlignment="1">
      <alignment horizontal="center"/>
    </xf>
    <xf numFmtId="3" fontId="29" fillId="13" borderId="22" xfId="0" applyNumberFormat="1" applyFont="1" applyFill="1" applyBorder="1" applyAlignment="1">
      <alignment horizontal="center"/>
    </xf>
    <xf numFmtId="2" fontId="25" fillId="13" borderId="34" xfId="0" applyNumberFormat="1" applyFont="1" applyFill="1" applyBorder="1" applyAlignment="1">
      <alignment horizontal="center"/>
    </xf>
    <xf numFmtId="2" fontId="25" fillId="13" borderId="52" xfId="0" applyNumberFormat="1" applyFont="1" applyFill="1" applyBorder="1" applyAlignment="1">
      <alignment horizontal="center"/>
    </xf>
    <xf numFmtId="3" fontId="9" fillId="14" borderId="9" xfId="0" applyNumberFormat="1" applyFont="1" applyFill="1" applyBorder="1" applyAlignment="1">
      <alignment horizontal="center"/>
    </xf>
    <xf numFmtId="2" fontId="0" fillId="11" borderId="52" xfId="0" applyNumberFormat="1" applyFill="1" applyBorder="1" applyAlignment="1">
      <alignment horizontal="center"/>
    </xf>
    <xf numFmtId="2" fontId="0" fillId="11" borderId="15" xfId="0" applyNumberFormat="1" applyFill="1" applyBorder="1"/>
    <xf numFmtId="13" fontId="0" fillId="0" borderId="0" xfId="0" applyNumberFormat="1"/>
    <xf numFmtId="187" fontId="0" fillId="11" borderId="6" xfId="0" applyNumberFormat="1" applyFill="1" applyBorder="1"/>
    <xf numFmtId="13" fontId="0" fillId="11" borderId="6" xfId="0" applyNumberFormat="1" applyFill="1" applyBorder="1"/>
    <xf numFmtId="0" fontId="0" fillId="14" borderId="56" xfId="0" applyFill="1" applyBorder="1" applyAlignment="1">
      <alignment horizontal="center"/>
    </xf>
    <xf numFmtId="0" fontId="0" fillId="14" borderId="12" xfId="0" applyFill="1" applyBorder="1" applyAlignment="1">
      <alignment horizontal="center"/>
    </xf>
    <xf numFmtId="2" fontId="0" fillId="14" borderId="12" xfId="0" applyNumberFormat="1" applyFill="1" applyBorder="1" applyAlignment="1">
      <alignment horizontal="center"/>
    </xf>
    <xf numFmtId="0" fontId="0" fillId="11" borderId="47" xfId="0" applyFill="1" applyBorder="1"/>
    <xf numFmtId="4" fontId="0" fillId="16" borderId="46" xfId="0" applyNumberFormat="1" applyFill="1" applyBorder="1" applyAlignment="1">
      <alignment horizontal="center"/>
    </xf>
    <xf numFmtId="0" fontId="0" fillId="14" borderId="12" xfId="0" applyFill="1" applyBorder="1"/>
    <xf numFmtId="3" fontId="0" fillId="11" borderId="31" xfId="0" applyNumberFormat="1" applyFill="1" applyBorder="1" applyAlignment="1">
      <alignment horizontal="center"/>
    </xf>
    <xf numFmtId="2" fontId="0" fillId="14" borderId="0" xfId="0" applyNumberFormat="1" applyFill="1" applyAlignment="1">
      <alignment horizontal="center"/>
    </xf>
    <xf numFmtId="167" fontId="0" fillId="14" borderId="0" xfId="0" applyNumberFormat="1" applyFill="1"/>
    <xf numFmtId="0" fontId="33" fillId="15" borderId="57" xfId="0" applyFont="1" applyFill="1" applyBorder="1"/>
    <xf numFmtId="0" fontId="34" fillId="15" borderId="58" xfId="0" applyFont="1" applyFill="1" applyBorder="1"/>
    <xf numFmtId="0" fontId="34" fillId="15" borderId="59" xfId="0" applyFont="1" applyFill="1" applyBorder="1"/>
    <xf numFmtId="0" fontId="11" fillId="14" borderId="9" xfId="0" applyFont="1" applyFill="1" applyBorder="1"/>
    <xf numFmtId="188" fontId="11" fillId="11" borderId="15" xfId="1" applyNumberFormat="1" applyFont="1" applyFill="1" applyBorder="1" applyProtection="1"/>
    <xf numFmtId="184" fontId="0" fillId="11" borderId="15" xfId="1" applyNumberFormat="1" applyFont="1" applyFill="1" applyBorder="1" applyProtection="1"/>
    <xf numFmtId="0" fontId="0" fillId="11" borderId="60" xfId="0" applyFill="1" applyBorder="1"/>
    <xf numFmtId="13" fontId="11" fillId="11" borderId="6" xfId="0" applyNumberFormat="1" applyFont="1" applyFill="1" applyBorder="1" applyAlignment="1">
      <alignment horizontal="center"/>
    </xf>
    <xf numFmtId="0" fontId="35" fillId="14" borderId="9" xfId="0" applyFont="1" applyFill="1" applyBorder="1"/>
    <xf numFmtId="166" fontId="11" fillId="11" borderId="42" xfId="1" applyFont="1" applyFill="1" applyBorder="1" applyProtection="1"/>
    <xf numFmtId="184" fontId="11" fillId="11" borderId="44" xfId="1" applyNumberFormat="1" applyFont="1" applyFill="1" applyBorder="1" applyProtection="1"/>
    <xf numFmtId="0" fontId="0" fillId="11" borderId="15" xfId="0" applyFill="1" applyBorder="1"/>
    <xf numFmtId="13" fontId="11" fillId="11" borderId="15" xfId="0" applyNumberFormat="1" applyFont="1" applyFill="1" applyBorder="1" applyAlignment="1">
      <alignment horizontal="center"/>
    </xf>
    <xf numFmtId="0" fontId="11" fillId="11" borderId="37" xfId="0" applyFont="1" applyFill="1" applyBorder="1"/>
    <xf numFmtId="0" fontId="29" fillId="13" borderId="61" xfId="0" applyFont="1" applyFill="1" applyBorder="1" applyAlignment="1">
      <alignment horizontal="center"/>
    </xf>
    <xf numFmtId="0" fontId="29" fillId="13" borderId="9" xfId="0" applyFont="1" applyFill="1" applyBorder="1" applyAlignment="1">
      <alignment horizontal="center"/>
    </xf>
    <xf numFmtId="0" fontId="0" fillId="14" borderId="9" xfId="0" applyFill="1" applyBorder="1" applyAlignment="1">
      <alignment horizontal="center"/>
    </xf>
    <xf numFmtId="0" fontId="0" fillId="11" borderId="24" xfId="0" applyFill="1" applyBorder="1" applyAlignment="1">
      <alignment horizontal="right"/>
    </xf>
    <xf numFmtId="2" fontId="0" fillId="11" borderId="15" xfId="0" applyNumberFormat="1" applyFill="1" applyBorder="1" applyAlignment="1">
      <alignment horizontal="right"/>
    </xf>
    <xf numFmtId="0" fontId="11" fillId="14" borderId="9" xfId="0" applyFont="1" applyFill="1" applyBorder="1" applyAlignment="1">
      <alignment horizontal="center"/>
    </xf>
    <xf numFmtId="2" fontId="0" fillId="11" borderId="24" xfId="0" applyNumberFormat="1" applyFill="1" applyBorder="1" applyAlignment="1">
      <alignment horizontal="right"/>
    </xf>
    <xf numFmtId="2" fontId="0" fillId="11" borderId="25" xfId="0" applyNumberFormat="1" applyFill="1" applyBorder="1"/>
    <xf numFmtId="2" fontId="0" fillId="11" borderId="16" xfId="0" applyNumberFormat="1" applyFill="1" applyBorder="1"/>
    <xf numFmtId="2" fontId="11" fillId="11" borderId="15" xfId="0" applyNumberFormat="1" applyFont="1" applyFill="1" applyBorder="1" applyAlignment="1">
      <alignment horizontal="right"/>
    </xf>
    <xf numFmtId="189" fontId="11" fillId="11" borderId="15" xfId="0" applyNumberFormat="1" applyFont="1" applyFill="1" applyBorder="1" applyAlignment="1">
      <alignment horizontal="right"/>
    </xf>
    <xf numFmtId="189" fontId="0" fillId="11" borderId="15" xfId="0" applyNumberFormat="1" applyFill="1" applyBorder="1" applyAlignment="1">
      <alignment horizontal="right"/>
    </xf>
    <xf numFmtId="0" fontId="11" fillId="14" borderId="9" xfId="0" applyFont="1" applyFill="1" applyBorder="1" applyAlignment="1">
      <alignment horizontal="center" wrapText="1"/>
    </xf>
    <xf numFmtId="1" fontId="0" fillId="11" borderId="15" xfId="0" applyNumberFormat="1" applyFill="1" applyBorder="1" applyAlignment="1">
      <alignment horizontal="right"/>
    </xf>
    <xf numFmtId="1" fontId="0" fillId="11" borderId="42" xfId="0" applyNumberFormat="1" applyFill="1" applyBorder="1" applyAlignment="1">
      <alignment horizontal="right"/>
    </xf>
    <xf numFmtId="2" fontId="0" fillId="11" borderId="43" xfId="0" applyNumberFormat="1" applyFill="1" applyBorder="1"/>
    <xf numFmtId="178" fontId="0" fillId="11" borderId="44" xfId="0" applyNumberFormat="1" applyFill="1" applyBorder="1"/>
    <xf numFmtId="2" fontId="11" fillId="11" borderId="20" xfId="0" applyNumberFormat="1" applyFont="1" applyFill="1" applyBorder="1"/>
    <xf numFmtId="178" fontId="0" fillId="11" borderId="34" xfId="1" applyNumberFormat="1" applyFont="1" applyFill="1" applyBorder="1" applyAlignment="1" applyProtection="1">
      <alignment horizontal="right"/>
    </xf>
    <xf numFmtId="0" fontId="11" fillId="11" borderId="55" xfId="0" applyFont="1" applyFill="1" applyBorder="1"/>
    <xf numFmtId="0" fontId="11" fillId="14" borderId="62" xfId="0" applyFont="1" applyFill="1" applyBorder="1" applyAlignment="1">
      <alignment horizontal="center"/>
    </xf>
    <xf numFmtId="166" fontId="0" fillId="16" borderId="15" xfId="1" applyFont="1" applyFill="1" applyBorder="1" applyAlignment="1" applyProtection="1">
      <alignment horizontal="right"/>
    </xf>
    <xf numFmtId="0" fontId="0" fillId="14" borderId="63" xfId="0" applyFill="1" applyBorder="1" applyAlignment="1">
      <alignment horizontal="center"/>
    </xf>
    <xf numFmtId="166" fontId="0" fillId="16" borderId="24" xfId="1" applyFont="1" applyFill="1" applyBorder="1" applyAlignment="1" applyProtection="1">
      <alignment horizontal="right"/>
    </xf>
    <xf numFmtId="0" fontId="11" fillId="14" borderId="10" xfId="0" applyFont="1" applyFill="1" applyBorder="1" applyAlignment="1">
      <alignment horizontal="center" wrapText="1"/>
    </xf>
    <xf numFmtId="178" fontId="0" fillId="11" borderId="0" xfId="0" applyNumberFormat="1" applyFill="1"/>
    <xf numFmtId="2" fontId="11" fillId="11" borderId="25" xfId="0" applyNumberFormat="1" applyFont="1" applyFill="1" applyBorder="1"/>
    <xf numFmtId="178" fontId="0" fillId="11" borderId="24" xfId="1" applyNumberFormat="1" applyFont="1" applyFill="1" applyBorder="1" applyAlignment="1" applyProtection="1">
      <alignment horizontal="right"/>
    </xf>
    <xf numFmtId="0" fontId="11" fillId="11" borderId="64" xfId="0" applyFont="1" applyFill="1" applyBorder="1"/>
    <xf numFmtId="0" fontId="29" fillId="0" borderId="29" xfId="0" applyFont="1" applyBorder="1" applyAlignment="1">
      <alignment horizontal="center"/>
    </xf>
    <xf numFmtId="0" fontId="25" fillId="0" borderId="36" xfId="0" applyFont="1" applyBorder="1" applyAlignment="1">
      <alignment horizontal="center" wrapText="1"/>
    </xf>
    <xf numFmtId="0" fontId="25" fillId="0" borderId="36" xfId="0" applyFont="1" applyBorder="1" applyAlignment="1">
      <alignment horizontal="center"/>
    </xf>
    <xf numFmtId="0" fontId="9" fillId="0" borderId="0" xfId="0" applyFont="1" applyAlignment="1">
      <alignment horizontal="center"/>
    </xf>
    <xf numFmtId="190" fontId="0" fillId="0" borderId="0" xfId="2" applyNumberFormat="1" applyFont="1" applyBorder="1" applyProtection="1"/>
    <xf numFmtId="0" fontId="9" fillId="0" borderId="0" xfId="0" applyFont="1" applyAlignment="1">
      <alignment horizontal="center" wrapText="1"/>
    </xf>
    <xf numFmtId="178" fontId="11" fillId="0" borderId="0" xfId="1" applyNumberFormat="1" applyFont="1" applyBorder="1" applyAlignment="1" applyProtection="1">
      <alignment horizontal="center"/>
    </xf>
    <xf numFmtId="186" fontId="1" fillId="0" borderId="0" xfId="2" applyNumberFormat="1" applyFont="1" applyBorder="1" applyProtection="1"/>
    <xf numFmtId="166" fontId="11" fillId="0" borderId="0" xfId="1" applyFont="1" applyBorder="1" applyProtection="1"/>
    <xf numFmtId="186" fontId="0" fillId="0" borderId="0" xfId="2" applyNumberFormat="1" applyFont="1" applyBorder="1" applyProtection="1"/>
    <xf numFmtId="178" fontId="11" fillId="0" borderId="0" xfId="1" applyNumberFormat="1" applyFont="1" applyBorder="1" applyAlignment="1" applyProtection="1">
      <alignment horizontal="left"/>
    </xf>
    <xf numFmtId="13" fontId="0" fillId="11" borderId="0" xfId="0" applyNumberFormat="1" applyFill="1"/>
    <xf numFmtId="3" fontId="9" fillId="11" borderId="6" xfId="0" applyNumberFormat="1" applyFont="1" applyFill="1" applyBorder="1"/>
    <xf numFmtId="172" fontId="0" fillId="11" borderId="6" xfId="0" applyNumberFormat="1" applyFill="1" applyBorder="1"/>
    <xf numFmtId="3" fontId="0" fillId="11" borderId="15" xfId="0" applyNumberFormat="1" applyFill="1" applyBorder="1"/>
    <xf numFmtId="3" fontId="0" fillId="11" borderId="22" xfId="0" applyNumberFormat="1" applyFill="1" applyBorder="1"/>
    <xf numFmtId="3" fontId="9" fillId="11" borderId="16" xfId="0" applyNumberFormat="1" applyFont="1" applyFill="1" applyBorder="1"/>
    <xf numFmtId="1" fontId="0" fillId="11" borderId="34" xfId="0" applyNumberFormat="1" applyFill="1" applyBorder="1"/>
    <xf numFmtId="183" fontId="26" fillId="17" borderId="35" xfId="0" applyNumberFormat="1" applyFont="1" applyFill="1" applyBorder="1"/>
    <xf numFmtId="1" fontId="0" fillId="11" borderId="15" xfId="0" applyNumberFormat="1" applyFill="1" applyBorder="1"/>
    <xf numFmtId="183" fontId="26" fillId="17" borderId="38" xfId="1" applyNumberFormat="1" applyFont="1" applyFill="1" applyBorder="1" applyProtection="1"/>
    <xf numFmtId="183" fontId="28" fillId="11" borderId="0" xfId="0" applyNumberFormat="1" applyFont="1" applyFill="1" applyAlignment="1">
      <alignment horizontal="left"/>
    </xf>
    <xf numFmtId="3" fontId="28" fillId="11" borderId="33" xfId="0" applyNumberFormat="1" applyFont="1" applyFill="1" applyBorder="1" applyAlignment="1">
      <alignment horizontal="left" vertical="top"/>
    </xf>
    <xf numFmtId="167" fontId="5" fillId="0" borderId="0" xfId="7" applyFont="1" applyAlignment="1">
      <alignment vertical="center"/>
    </xf>
    <xf numFmtId="167" fontId="5" fillId="11" borderId="0" xfId="7" applyFont="1" applyFill="1" applyAlignment="1">
      <alignment vertical="center"/>
    </xf>
    <xf numFmtId="3" fontId="0" fillId="11" borderId="34" xfId="0" applyNumberFormat="1" applyFill="1" applyBorder="1"/>
    <xf numFmtId="3" fontId="9" fillId="11" borderId="16" xfId="0" applyNumberFormat="1" applyFont="1" applyFill="1" applyBorder="1" applyAlignment="1">
      <alignment vertical="center" wrapText="1"/>
    </xf>
    <xf numFmtId="3" fontId="9" fillId="11" borderId="6" xfId="0" applyNumberFormat="1" applyFont="1" applyFill="1" applyBorder="1" applyAlignment="1">
      <alignment vertical="center" wrapText="1"/>
    </xf>
    <xf numFmtId="172" fontId="0" fillId="11" borderId="6" xfId="0" applyNumberFormat="1" applyFill="1" applyBorder="1" applyAlignment="1">
      <alignment vertical="center" wrapText="1"/>
    </xf>
    <xf numFmtId="0" fontId="25" fillId="13" borderId="65" xfId="0" applyFont="1" applyFill="1" applyBorder="1"/>
    <xf numFmtId="0" fontId="25" fillId="13" borderId="34" xfId="0" applyFont="1" applyFill="1" applyBorder="1"/>
    <xf numFmtId="191" fontId="25" fillId="0" borderId="0" xfId="0" applyNumberFormat="1" applyFont="1" applyAlignment="1">
      <alignment horizontal="center" wrapText="1"/>
    </xf>
    <xf numFmtId="2" fontId="25" fillId="0" borderId="0" xfId="0" applyNumberFormat="1" applyFont="1" applyAlignment="1">
      <alignment horizontal="center" wrapText="1"/>
    </xf>
    <xf numFmtId="3" fontId="36" fillId="4" borderId="9" xfId="0" applyNumberFormat="1" applyFont="1" applyFill="1" applyBorder="1" applyAlignment="1">
      <alignment horizontal="center"/>
    </xf>
    <xf numFmtId="3" fontId="0" fillId="11" borderId="52" xfId="0" applyNumberFormat="1" applyFill="1" applyBorder="1" applyAlignment="1">
      <alignment horizontal="center"/>
    </xf>
    <xf numFmtId="3" fontId="0" fillId="11" borderId="16" xfId="0" applyNumberFormat="1" applyFill="1" applyBorder="1" applyAlignment="1">
      <alignment horizontal="center"/>
    </xf>
    <xf numFmtId="166" fontId="0" fillId="11" borderId="6" xfId="1" applyFont="1" applyFill="1" applyBorder="1" applyAlignment="1" applyProtection="1">
      <alignment horizontal="left"/>
    </xf>
    <xf numFmtId="3" fontId="0" fillId="11" borderId="6" xfId="0" applyNumberFormat="1" applyFill="1" applyBorder="1"/>
    <xf numFmtId="3" fontId="0" fillId="11" borderId="42" xfId="0" applyNumberFormat="1" applyFill="1" applyBorder="1" applyAlignment="1">
      <alignment horizontal="center"/>
    </xf>
    <xf numFmtId="3" fontId="0" fillId="11" borderId="15" xfId="0" applyNumberFormat="1" applyFill="1" applyBorder="1" applyAlignment="1">
      <alignment horizontal="center"/>
    </xf>
    <xf numFmtId="166" fontId="0" fillId="11" borderId="6" xfId="1" applyFont="1" applyFill="1" applyBorder="1" applyAlignment="1" applyProtection="1">
      <alignment horizontal="center"/>
    </xf>
    <xf numFmtId="3" fontId="0" fillId="11" borderId="34" xfId="0" applyNumberFormat="1" applyFill="1" applyBorder="1" applyAlignment="1">
      <alignment horizontal="center"/>
    </xf>
    <xf numFmtId="190" fontId="0" fillId="0" borderId="0" xfId="0" applyNumberFormat="1"/>
    <xf numFmtId="191" fontId="0" fillId="0" borderId="0" xfId="0" applyNumberFormat="1"/>
    <xf numFmtId="0" fontId="25" fillId="13" borderId="15" xfId="0" applyFont="1" applyFill="1" applyBorder="1" applyAlignment="1">
      <alignment horizontal="center"/>
    </xf>
    <xf numFmtId="189" fontId="0" fillId="11" borderId="6" xfId="0" applyNumberFormat="1" applyFill="1" applyBorder="1"/>
    <xf numFmtId="0" fontId="9" fillId="0" borderId="0" xfId="0" applyFont="1"/>
    <xf numFmtId="0" fontId="9" fillId="15" borderId="37" xfId="0" applyFont="1" applyFill="1" applyBorder="1"/>
    <xf numFmtId="0" fontId="11" fillId="15" borderId="37" xfId="0" applyFont="1" applyFill="1" applyBorder="1"/>
    <xf numFmtId="0" fontId="11" fillId="15" borderId="16" xfId="0" applyFont="1" applyFill="1" applyBorder="1"/>
    <xf numFmtId="0" fontId="9" fillId="0" borderId="0" xfId="0" applyFont="1" applyAlignment="1">
      <alignment horizontal="left"/>
    </xf>
    <xf numFmtId="0" fontId="36" fillId="0" borderId="0" xfId="0" applyFont="1" applyAlignment="1">
      <alignment horizontal="left"/>
    </xf>
    <xf numFmtId="173" fontId="11" fillId="0" borderId="0" xfId="7" applyNumberFormat="1" applyFont="1" applyAlignment="1" applyProtection="1">
      <alignment horizontal="center" vertical="center" wrapText="1"/>
      <protection locked="0"/>
    </xf>
    <xf numFmtId="167" fontId="5" fillId="0" borderId="0" xfId="7" applyFont="1" applyAlignment="1">
      <alignment horizontal="left" vertical="center" wrapText="1"/>
    </xf>
    <xf numFmtId="2" fontId="11" fillId="0" borderId="0" xfId="7" applyNumberFormat="1" applyFont="1" applyAlignment="1">
      <alignment horizontal="center"/>
    </xf>
    <xf numFmtId="167" fontId="5" fillId="0" borderId="0" xfId="7" applyFont="1"/>
    <xf numFmtId="0" fontId="29" fillId="13" borderId="16" xfId="0" applyFont="1" applyFill="1" applyBorder="1" applyAlignment="1">
      <alignment horizontal="center"/>
    </xf>
    <xf numFmtId="0" fontId="29" fillId="13" borderId="15" xfId="0" applyFont="1" applyFill="1" applyBorder="1" applyAlignment="1">
      <alignment horizontal="right"/>
    </xf>
    <xf numFmtId="0" fontId="29" fillId="13" borderId="16" xfId="0" applyFont="1" applyFill="1" applyBorder="1"/>
    <xf numFmtId="1" fontId="11" fillId="0" borderId="0" xfId="7" applyNumberFormat="1" applyFont="1" applyAlignment="1" applyProtection="1">
      <alignment horizontal="center" vertical="center" wrapText="1"/>
      <protection locked="0"/>
    </xf>
    <xf numFmtId="0" fontId="11" fillId="14" borderId="16" xfId="0" applyFont="1" applyFill="1" applyBorder="1"/>
    <xf numFmtId="2" fontId="0" fillId="11" borderId="29" xfId="0" applyNumberFormat="1" applyFill="1" applyBorder="1"/>
    <xf numFmtId="3" fontId="11" fillId="0" borderId="0" xfId="7" applyNumberFormat="1" applyFont="1" applyAlignment="1" applyProtection="1">
      <alignment horizontal="center" vertical="center" wrapText="1"/>
      <protection locked="0"/>
    </xf>
    <xf numFmtId="167" fontId="1" fillId="0" borderId="0" xfId="7"/>
    <xf numFmtId="0" fontId="35" fillId="14" borderId="16" xfId="0" applyFont="1" applyFill="1" applyBorder="1"/>
    <xf numFmtId="2" fontId="0" fillId="11" borderId="44" xfId="0" applyNumberFormat="1" applyFill="1" applyBorder="1" applyAlignment="1">
      <alignment horizontal="right"/>
    </xf>
    <xf numFmtId="2" fontId="0" fillId="11" borderId="20" xfId="0" applyNumberFormat="1" applyFill="1" applyBorder="1"/>
    <xf numFmtId="13" fontId="11" fillId="0" borderId="0" xfId="7" applyNumberFormat="1" applyFont="1" applyAlignment="1" applyProtection="1">
      <alignment horizontal="center" vertical="center" wrapText="1"/>
      <protection locked="0"/>
    </xf>
    <xf numFmtId="167" fontId="9" fillId="0" borderId="0" xfId="7" applyFont="1" applyAlignment="1">
      <alignment horizontal="left" vertical="center" wrapText="1"/>
    </xf>
    <xf numFmtId="2" fontId="11" fillId="0" borderId="0" xfId="7" applyNumberFormat="1" applyFont="1" applyAlignment="1">
      <alignment horizontal="center" vertical="center"/>
    </xf>
    <xf numFmtId="2" fontId="11" fillId="11" borderId="37" xfId="0" applyNumberFormat="1" applyFont="1" applyFill="1" applyBorder="1"/>
    <xf numFmtId="0" fontId="25" fillId="0" borderId="0" xfId="0" applyFont="1"/>
    <xf numFmtId="2" fontId="25" fillId="0" borderId="0" xfId="0" applyNumberFormat="1" applyFont="1"/>
    <xf numFmtId="0" fontId="35" fillId="14" borderId="37" xfId="0" applyFont="1" applyFill="1" applyBorder="1"/>
    <xf numFmtId="173" fontId="1" fillId="0" borderId="0" xfId="7" applyNumberFormat="1" applyAlignment="1" applyProtection="1">
      <alignment horizontal="center" vertical="center" wrapText="1"/>
      <protection locked="0"/>
    </xf>
    <xf numFmtId="0" fontId="25" fillId="13" borderId="16" xfId="0" applyFont="1" applyFill="1" applyBorder="1" applyAlignment="1">
      <alignment horizontal="center"/>
    </xf>
    <xf numFmtId="3" fontId="0" fillId="11" borderId="24" xfId="0" applyNumberFormat="1" applyFill="1" applyBorder="1" applyAlignment="1">
      <alignment horizontal="right"/>
    </xf>
    <xf numFmtId="3" fontId="0" fillId="11" borderId="25" xfId="0" applyNumberFormat="1" applyFill="1" applyBorder="1"/>
    <xf numFmtId="1" fontId="1" fillId="0" borderId="0" xfId="7" applyNumberFormat="1" applyAlignment="1" applyProtection="1">
      <alignment horizontal="center" vertical="center" wrapText="1"/>
      <protection locked="0"/>
    </xf>
    <xf numFmtId="2" fontId="1" fillId="0" borderId="0" xfId="7" applyNumberFormat="1"/>
    <xf numFmtId="0" fontId="0" fillId="14" borderId="16" xfId="0" applyFill="1" applyBorder="1" applyAlignment="1">
      <alignment horizontal="center"/>
    </xf>
    <xf numFmtId="3" fontId="9" fillId="0" borderId="0" xfId="0" applyNumberFormat="1" applyFont="1" applyAlignment="1">
      <alignment horizontal="left"/>
    </xf>
    <xf numFmtId="3" fontId="1" fillId="0" borderId="0" xfId="7" applyNumberFormat="1"/>
    <xf numFmtId="167" fontId="5" fillId="0" borderId="0" xfId="7" applyFont="1" applyAlignment="1">
      <alignment vertical="top" wrapText="1"/>
    </xf>
    <xf numFmtId="167" fontId="5" fillId="0" borderId="0" xfId="7" applyFont="1" applyAlignment="1">
      <alignment vertical="top"/>
    </xf>
    <xf numFmtId="13" fontId="37" fillId="0" borderId="0" xfId="7" applyNumberFormat="1" applyFont="1" applyAlignment="1" applyProtection="1">
      <alignment horizontal="center" vertical="center" wrapText="1"/>
      <protection locked="0"/>
    </xf>
    <xf numFmtId="0" fontId="11" fillId="14" borderId="16" xfId="0" applyFont="1" applyFill="1" applyBorder="1" applyAlignment="1">
      <alignment horizontal="center"/>
    </xf>
    <xf numFmtId="3" fontId="26" fillId="0" borderId="0" xfId="0" applyNumberFormat="1" applyFont="1" applyAlignment="1">
      <alignment horizontal="center"/>
    </xf>
    <xf numFmtId="0" fontId="0" fillId="14" borderId="6" xfId="0" applyFill="1" applyBorder="1" applyAlignment="1">
      <alignment horizontal="center"/>
    </xf>
    <xf numFmtId="178" fontId="0" fillId="16" borderId="15" xfId="1" applyNumberFormat="1" applyFont="1" applyFill="1" applyBorder="1" applyAlignment="1" applyProtection="1">
      <alignment horizontal="right"/>
    </xf>
    <xf numFmtId="167" fontId="9" fillId="0" borderId="0" xfId="7" applyFont="1" applyAlignment="1">
      <alignment vertical="center" wrapText="1"/>
    </xf>
    <xf numFmtId="167" fontId="11" fillId="0" borderId="0" xfId="7" applyFont="1"/>
    <xf numFmtId="0" fontId="11" fillId="0" borderId="0" xfId="0" applyFont="1" applyAlignment="1">
      <alignment horizontal="center" wrapText="1"/>
    </xf>
    <xf numFmtId="178" fontId="0" fillId="0" borderId="0" xfId="0" applyNumberFormat="1"/>
    <xf numFmtId="178" fontId="0" fillId="0" borderId="0" xfId="1" applyNumberFormat="1" applyFont="1" applyBorder="1" applyAlignment="1" applyProtection="1">
      <alignment horizontal="right"/>
    </xf>
    <xf numFmtId="1" fontId="1" fillId="0" borderId="0" xfId="7" applyNumberFormat="1"/>
    <xf numFmtId="166" fontId="37" fillId="0" borderId="0" xfId="1" applyFont="1" applyBorder="1" applyAlignment="1" applyProtection="1">
      <alignment horizontal="center" vertical="center" wrapText="1"/>
      <protection locked="0"/>
    </xf>
    <xf numFmtId="189" fontId="0" fillId="11" borderId="23" xfId="0" applyNumberFormat="1" applyFill="1" applyBorder="1"/>
    <xf numFmtId="13" fontId="0" fillId="11" borderId="42" xfId="0" applyNumberFormat="1" applyFill="1" applyBorder="1"/>
    <xf numFmtId="0" fontId="25" fillId="0" borderId="0" xfId="0" applyFont="1" applyAlignment="1">
      <alignment horizontal="left"/>
    </xf>
    <xf numFmtId="3" fontId="25" fillId="0" borderId="0" xfId="7" applyNumberFormat="1" applyFont="1" applyAlignment="1">
      <alignment horizontal="center" vertical="center" wrapText="1"/>
    </xf>
    <xf numFmtId="167" fontId="25" fillId="0" borderId="0" xfId="7" applyFont="1"/>
    <xf numFmtId="1" fontId="29" fillId="0" borderId="0" xfId="7" applyNumberFormat="1" applyFont="1"/>
    <xf numFmtId="167" fontId="29" fillId="0" borderId="0" xfId="7" applyFont="1"/>
    <xf numFmtId="189" fontId="0" fillId="11" borderId="0" xfId="0" applyNumberFormat="1" applyFill="1"/>
    <xf numFmtId="189" fontId="0" fillId="11" borderId="52" xfId="0" applyNumberFormat="1" applyFill="1" applyBorder="1"/>
    <xf numFmtId="13" fontId="0" fillId="11" borderId="34" xfId="0" applyNumberFormat="1" applyFill="1" applyBorder="1"/>
    <xf numFmtId="167" fontId="9" fillId="0" borderId="0" xfId="7" applyFont="1" applyAlignment="1">
      <alignment vertical="center"/>
    </xf>
    <xf numFmtId="167" fontId="5" fillId="0" borderId="0" xfId="7" applyFont="1" applyAlignment="1">
      <alignment vertical="center" wrapText="1"/>
    </xf>
    <xf numFmtId="167" fontId="25" fillId="0" borderId="0" xfId="7" applyFont="1" applyAlignment="1">
      <alignment horizontal="right"/>
    </xf>
    <xf numFmtId="167" fontId="25" fillId="0" borderId="0" xfId="7" applyFont="1" applyAlignment="1">
      <alignment horizontal="left" vertical="center"/>
    </xf>
    <xf numFmtId="2" fontId="26" fillId="0" borderId="0" xfId="0" applyNumberFormat="1" applyFont="1" applyAlignment="1">
      <alignment horizontal="center"/>
    </xf>
    <xf numFmtId="1" fontId="5" fillId="0" borderId="0" xfId="7" applyNumberFormat="1" applyFont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2" fontId="5" fillId="0" borderId="0" xfId="7" applyNumberFormat="1" applyFont="1" applyAlignment="1" applyProtection="1">
      <alignment horizontal="center" vertical="center" wrapText="1"/>
      <protection locked="0"/>
    </xf>
    <xf numFmtId="3" fontId="5" fillId="0" borderId="0" xfId="0" applyNumberFormat="1" applyFont="1" applyAlignment="1">
      <alignment horizontal="center" vertical="center" wrapText="1"/>
    </xf>
    <xf numFmtId="167" fontId="25" fillId="0" borderId="0" xfId="7" applyFont="1" applyAlignment="1">
      <alignment vertical="center" wrapText="1"/>
    </xf>
    <xf numFmtId="167" fontId="25" fillId="0" borderId="0" xfId="7" applyFont="1" applyAlignment="1">
      <alignment vertical="center"/>
    </xf>
    <xf numFmtId="167" fontId="24" fillId="0" borderId="0" xfId="7" applyFont="1" applyAlignment="1">
      <alignment vertical="center" wrapText="1"/>
    </xf>
    <xf numFmtId="3" fontId="37" fillId="0" borderId="0" xfId="7" applyNumberFormat="1" applyFont="1" applyAlignment="1" applyProtection="1">
      <alignment horizontal="center" vertical="center" wrapText="1"/>
      <protection locked="0"/>
    </xf>
    <xf numFmtId="167" fontId="9" fillId="0" borderId="0" xfId="7" applyFont="1" applyAlignment="1">
      <alignment horizontal="center" vertical="center" wrapText="1"/>
    </xf>
    <xf numFmtId="2" fontId="37" fillId="0" borderId="0" xfId="7" applyNumberFormat="1" applyFont="1" applyAlignment="1" applyProtection="1">
      <alignment horizontal="center" vertical="center" wrapText="1"/>
      <protection locked="0"/>
    </xf>
    <xf numFmtId="2" fontId="9" fillId="0" borderId="0" xfId="7" applyNumberFormat="1" applyFont="1" applyAlignment="1" applyProtection="1">
      <alignment horizontal="center" vertical="center" wrapText="1"/>
      <protection locked="0"/>
    </xf>
    <xf numFmtId="2" fontId="5" fillId="0" borderId="0" xfId="7" applyNumberFormat="1" applyFont="1" applyAlignment="1">
      <alignment horizontal="center" vertical="center" wrapText="1"/>
    </xf>
    <xf numFmtId="167" fontId="38" fillId="0" borderId="0" xfId="7" applyFont="1" applyAlignment="1">
      <alignment vertical="center"/>
    </xf>
    <xf numFmtId="167" fontId="11" fillId="0" borderId="0" xfId="7" applyFont="1" applyAlignment="1">
      <alignment horizontal="center"/>
    </xf>
    <xf numFmtId="167" fontId="25" fillId="0" borderId="0" xfId="7" applyFont="1" applyAlignment="1">
      <alignment horizontal="center"/>
    </xf>
    <xf numFmtId="167" fontId="25" fillId="0" borderId="0" xfId="7" applyFont="1" applyAlignment="1">
      <alignment horizontal="left" vertical="center" wrapText="1"/>
    </xf>
    <xf numFmtId="167" fontId="39" fillId="0" borderId="0" xfId="7" applyFont="1" applyAlignment="1">
      <alignment vertical="center"/>
    </xf>
    <xf numFmtId="167" fontId="40" fillId="0" borderId="0" xfId="7" applyFont="1"/>
    <xf numFmtId="1" fontId="37" fillId="0" borderId="0" xfId="7" applyNumberFormat="1" applyFont="1" applyAlignment="1" applyProtection="1">
      <alignment horizontal="center" vertical="center" wrapText="1"/>
      <protection locked="0"/>
    </xf>
    <xf numFmtId="167" fontId="25" fillId="0" borderId="0" xfId="7" applyFont="1" applyAlignment="1">
      <alignment horizontal="center" vertical="center" wrapText="1"/>
    </xf>
    <xf numFmtId="0" fontId="36" fillId="0" borderId="0" xfId="0" applyFont="1"/>
    <xf numFmtId="3" fontId="37" fillId="0" borderId="0" xfId="7" applyNumberFormat="1" applyFont="1" applyAlignment="1">
      <alignment horizontal="center" vertical="center" wrapText="1"/>
    </xf>
    <xf numFmtId="167" fontId="5" fillId="0" borderId="0" xfId="7" applyFont="1" applyAlignment="1">
      <alignment horizontal="left" vertical="center"/>
    </xf>
    <xf numFmtId="167" fontId="37" fillId="0" borderId="0" xfId="7" applyFont="1" applyAlignment="1" applyProtection="1">
      <alignment horizontal="center" vertical="center" wrapText="1"/>
      <protection locked="0"/>
    </xf>
    <xf numFmtId="3" fontId="9" fillId="0" borderId="0" xfId="7" applyNumberFormat="1" applyFont="1" applyAlignment="1">
      <alignment horizontal="center" vertical="center" wrapText="1"/>
    </xf>
    <xf numFmtId="3" fontId="25" fillId="0" borderId="0" xfId="7" applyNumberFormat="1" applyFont="1" applyAlignment="1" applyProtection="1">
      <alignment horizontal="center" vertical="center" wrapText="1"/>
      <protection locked="0"/>
    </xf>
    <xf numFmtId="166" fontId="25" fillId="0" borderId="0" xfId="1" applyFont="1" applyBorder="1" applyAlignment="1" applyProtection="1">
      <alignment horizontal="center"/>
    </xf>
    <xf numFmtId="0" fontId="25" fillId="0" borderId="0" xfId="0" applyFont="1" applyAlignment="1">
      <alignment horizontal="right"/>
    </xf>
    <xf numFmtId="3" fontId="5" fillId="0" borderId="0" xfId="7" applyNumberFormat="1" applyFont="1"/>
    <xf numFmtId="3" fontId="9" fillId="0" borderId="0" xfId="0" applyNumberFormat="1" applyFont="1"/>
    <xf numFmtId="13" fontId="9" fillId="0" borderId="0" xfId="0" applyNumberFormat="1" applyFont="1"/>
    <xf numFmtId="185" fontId="9" fillId="0" borderId="0" xfId="2" applyFont="1" applyBorder="1" applyProtection="1"/>
    <xf numFmtId="167" fontId="5" fillId="11" borderId="0" xfId="7" applyFont="1" applyFill="1" applyAlignment="1">
      <alignment horizontal="left" vertical="center" wrapText="1"/>
    </xf>
    <xf numFmtId="3" fontId="5" fillId="11" borderId="0" xfId="7" applyNumberFormat="1" applyFont="1" applyFill="1" applyAlignment="1">
      <alignment horizontal="center" vertical="center" wrapText="1"/>
    </xf>
    <xf numFmtId="167" fontId="5" fillId="11" borderId="0" xfId="7" applyFont="1" applyFill="1"/>
    <xf numFmtId="167" fontId="1" fillId="11" borderId="0" xfId="7" applyFill="1"/>
    <xf numFmtId="0" fontId="36" fillId="11" borderId="0" xfId="0" applyFont="1" applyFill="1"/>
    <xf numFmtId="0" fontId="41" fillId="11" borderId="0" xfId="0" applyFont="1" applyFill="1"/>
    <xf numFmtId="167" fontId="5" fillId="11" borderId="0" xfId="7" applyFont="1" applyFill="1" applyAlignment="1">
      <alignment vertical="center" wrapText="1"/>
    </xf>
    <xf numFmtId="167" fontId="5" fillId="11" borderId="0" xfId="7" applyFont="1" applyFill="1" applyAlignment="1">
      <alignment horizontal="left" vertical="center"/>
    </xf>
    <xf numFmtId="1" fontId="37" fillId="11" borderId="0" xfId="7" applyNumberFormat="1" applyFont="1" applyFill="1" applyAlignment="1" applyProtection="1">
      <alignment horizontal="center" vertical="center" wrapText="1"/>
      <protection locked="0"/>
    </xf>
    <xf numFmtId="2" fontId="5" fillId="11" borderId="0" xfId="7" applyNumberFormat="1" applyFont="1" applyFill="1" applyAlignment="1">
      <alignment horizontal="center" vertical="center" wrapText="1"/>
    </xf>
    <xf numFmtId="3" fontId="37" fillId="11" borderId="0" xfId="7" applyNumberFormat="1" applyFont="1" applyFill="1" applyAlignment="1" applyProtection="1">
      <alignment horizontal="center" vertical="center" wrapText="1"/>
      <protection locked="0"/>
    </xf>
    <xf numFmtId="167" fontId="37" fillId="11" borderId="0" xfId="7" applyFont="1" applyFill="1" applyAlignment="1" applyProtection="1">
      <alignment horizontal="center" vertical="center" wrapText="1"/>
      <protection locked="0"/>
    </xf>
    <xf numFmtId="167" fontId="5" fillId="11" borderId="0" xfId="7" applyFont="1" applyFill="1" applyAlignment="1">
      <alignment horizontal="center" vertical="center" wrapText="1"/>
    </xf>
    <xf numFmtId="167" fontId="37" fillId="11" borderId="0" xfId="7" applyFont="1" applyFill="1" applyAlignment="1">
      <alignment horizontal="center" vertical="center" wrapText="1"/>
    </xf>
    <xf numFmtId="1" fontId="5" fillId="11" borderId="0" xfId="7" applyNumberFormat="1" applyFont="1" applyFill="1" applyAlignment="1">
      <alignment horizontal="center" vertical="center" wrapText="1"/>
    </xf>
    <xf numFmtId="2" fontId="37" fillId="11" borderId="0" xfId="7" applyNumberFormat="1" applyFont="1" applyFill="1" applyAlignment="1" applyProtection="1">
      <alignment horizontal="center" vertical="center" wrapText="1"/>
      <protection locked="0"/>
    </xf>
    <xf numFmtId="173" fontId="5" fillId="11" borderId="0" xfId="7" applyNumberFormat="1" applyFont="1" applyFill="1" applyAlignment="1">
      <alignment horizontal="center" vertical="center" wrapText="1"/>
    </xf>
    <xf numFmtId="189" fontId="5" fillId="11" borderId="0" xfId="7" applyNumberFormat="1" applyFont="1" applyFill="1" applyAlignment="1">
      <alignment horizontal="center" vertical="center" wrapText="1"/>
    </xf>
    <xf numFmtId="167" fontId="42" fillId="11" borderId="0" xfId="7" applyFont="1" applyFill="1" applyAlignment="1">
      <alignment vertical="top"/>
    </xf>
    <xf numFmtId="167" fontId="43" fillId="11" borderId="0" xfId="7" applyFont="1" applyFill="1" applyAlignment="1">
      <alignment vertical="center"/>
    </xf>
    <xf numFmtId="167" fontId="5" fillId="11" borderId="0" xfId="7" applyFont="1" applyFill="1" applyAlignment="1">
      <alignment horizontal="left" vertical="top"/>
    </xf>
    <xf numFmtId="167" fontId="5" fillId="11" borderId="0" xfId="7" applyFont="1" applyFill="1" applyAlignment="1">
      <alignment horizontal="left" vertical="top" wrapText="1"/>
    </xf>
    <xf numFmtId="4" fontId="5" fillId="11" borderId="0" xfId="7" applyNumberFormat="1" applyFont="1" applyFill="1" applyAlignment="1">
      <alignment horizontal="center" vertical="center" wrapText="1"/>
    </xf>
    <xf numFmtId="167" fontId="5" fillId="11" borderId="0" xfId="7" applyFont="1" applyFill="1" applyAlignment="1">
      <alignment horizontal="right" vertical="center" wrapText="1"/>
    </xf>
    <xf numFmtId="167" fontId="43" fillId="11" borderId="0" xfId="7" applyFont="1" applyFill="1" applyAlignment="1">
      <alignment horizontal="left" vertical="center"/>
    </xf>
    <xf numFmtId="167" fontId="43" fillId="11" borderId="0" xfId="7" applyFont="1" applyFill="1" applyAlignment="1">
      <alignment horizontal="left" vertical="center" wrapText="1"/>
    </xf>
    <xf numFmtId="167" fontId="5" fillId="11" borderId="0" xfId="7" applyFont="1" applyFill="1" applyAlignment="1">
      <alignment horizontal="right" vertical="center"/>
    </xf>
    <xf numFmtId="167" fontId="5" fillId="11" borderId="0" xfId="7" applyFont="1" applyFill="1" applyAlignment="1">
      <alignment horizontal="center" vertical="center"/>
    </xf>
    <xf numFmtId="167" fontId="43" fillId="11" borderId="0" xfId="7" applyFont="1" applyFill="1" applyAlignment="1">
      <alignment horizontal="left" vertical="top" wrapText="1"/>
    </xf>
    <xf numFmtId="167" fontId="44" fillId="11" borderId="0" xfId="7" applyFont="1" applyFill="1" applyAlignment="1">
      <alignment vertical="center"/>
    </xf>
    <xf numFmtId="167" fontId="44" fillId="11" borderId="0" xfId="7" applyFont="1" applyFill="1" applyAlignment="1">
      <alignment vertical="center" wrapText="1"/>
    </xf>
    <xf numFmtId="167" fontId="5" fillId="11" borderId="0" xfId="7" applyFont="1" applyFill="1" applyAlignment="1">
      <alignment vertical="top"/>
    </xf>
    <xf numFmtId="13" fontId="37" fillId="11" borderId="0" xfId="7" applyNumberFormat="1" applyFont="1" applyFill="1" applyAlignment="1" applyProtection="1">
      <alignment horizontal="center" vertical="center" wrapText="1"/>
      <protection locked="0"/>
    </xf>
    <xf numFmtId="13" fontId="5" fillId="11" borderId="0" xfId="7" applyNumberFormat="1" applyFont="1" applyFill="1"/>
    <xf numFmtId="0" fontId="5" fillId="14" borderId="16" xfId="0" applyFont="1" applyFill="1" applyBorder="1"/>
    <xf numFmtId="0" fontId="0" fillId="0" borderId="6" xfId="0" applyBorder="1"/>
    <xf numFmtId="0" fontId="5" fillId="14" borderId="27" xfId="0" applyFont="1" applyFill="1" applyBorder="1" applyAlignment="1">
      <alignment horizontal="left"/>
    </xf>
    <xf numFmtId="179" fontId="26" fillId="17" borderId="35" xfId="0" applyNumberFormat="1" applyFont="1" applyFill="1" applyBorder="1"/>
    <xf numFmtId="179" fontId="26" fillId="17" borderId="38" xfId="1" applyNumberFormat="1" applyFont="1" applyFill="1" applyBorder="1" applyProtection="1"/>
    <xf numFmtId="0" fontId="5" fillId="14" borderId="27" xfId="0" applyFont="1" applyFill="1" applyBorder="1" applyAlignment="1">
      <alignment horizontal="left" vertical="center" wrapText="1"/>
    </xf>
    <xf numFmtId="167" fontId="5" fillId="14" borderId="16" xfId="0" applyNumberFormat="1" applyFont="1" applyFill="1" applyBorder="1" applyAlignment="1">
      <alignment wrapText="1"/>
    </xf>
    <xf numFmtId="0" fontId="5" fillId="14" borderId="38" xfId="0" applyFont="1" applyFill="1" applyBorder="1" applyAlignment="1">
      <alignment horizontal="left"/>
    </xf>
    <xf numFmtId="0" fontId="5" fillId="14" borderId="46" xfId="0" applyFont="1" applyFill="1" applyBorder="1"/>
    <xf numFmtId="0" fontId="32" fillId="13" borderId="23" xfId="0" applyFont="1" applyFill="1" applyBorder="1" applyAlignment="1">
      <alignment horizontal="center"/>
    </xf>
    <xf numFmtId="0" fontId="25" fillId="0" borderId="32" xfId="0" applyFont="1" applyBorder="1" applyAlignment="1">
      <alignment horizontal="center" wrapText="1"/>
    </xf>
    <xf numFmtId="0" fontId="25" fillId="13" borderId="9" xfId="0" applyFont="1" applyFill="1" applyBorder="1" applyAlignment="1">
      <alignment horizontal="center"/>
    </xf>
    <xf numFmtId="3" fontId="45" fillId="18" borderId="27" xfId="0" applyNumberFormat="1" applyFont="1" applyFill="1" applyBorder="1" applyAlignment="1">
      <alignment horizontal="center"/>
    </xf>
    <xf numFmtId="3" fontId="30" fillId="0" borderId="35" xfId="0" applyNumberFormat="1" applyFont="1" applyBorder="1" applyAlignment="1">
      <alignment horizontal="center"/>
    </xf>
    <xf numFmtId="13" fontId="11" fillId="0" borderId="32" xfId="0" applyNumberFormat="1" applyFont="1" applyBorder="1"/>
    <xf numFmtId="3" fontId="0" fillId="14" borderId="32" xfId="0" applyNumberFormat="1" applyFill="1" applyBorder="1"/>
    <xf numFmtId="3" fontId="0" fillId="14" borderId="0" xfId="0" applyNumberFormat="1" applyFill="1"/>
    <xf numFmtId="0" fontId="0" fillId="14" borderId="33" xfId="0" applyFill="1" applyBorder="1"/>
    <xf numFmtId="3" fontId="32" fillId="13" borderId="42" xfId="0" applyNumberFormat="1" applyFont="1" applyFill="1" applyBorder="1" applyAlignment="1">
      <alignment horizontal="center"/>
    </xf>
    <xf numFmtId="3" fontId="25" fillId="13" borderId="23" xfId="0" applyNumberFormat="1" applyFont="1" applyFill="1" applyBorder="1" applyAlignment="1">
      <alignment horizontal="center"/>
    </xf>
    <xf numFmtId="0" fontId="25" fillId="13" borderId="65" xfId="0" applyFont="1" applyFill="1" applyBorder="1" applyAlignment="1">
      <alignment horizontal="center"/>
    </xf>
    <xf numFmtId="3" fontId="29" fillId="13" borderId="18" xfId="0" applyNumberFormat="1" applyFont="1" applyFill="1" applyBorder="1" applyAlignment="1">
      <alignment horizontal="center"/>
    </xf>
    <xf numFmtId="3" fontId="25" fillId="13" borderId="34" xfId="0" applyNumberFormat="1" applyFont="1" applyFill="1" applyBorder="1" applyAlignment="1">
      <alignment horizontal="center"/>
    </xf>
    <xf numFmtId="3" fontId="25" fillId="13" borderId="52" xfId="0" applyNumberFormat="1" applyFont="1" applyFill="1" applyBorder="1" applyAlignment="1">
      <alignment horizontal="center"/>
    </xf>
    <xf numFmtId="3" fontId="36" fillId="18" borderId="9" xfId="0" applyNumberFormat="1" applyFont="1" applyFill="1" applyBorder="1" applyAlignment="1">
      <alignment horizontal="center"/>
    </xf>
    <xf numFmtId="0" fontId="25" fillId="0" borderId="24" xfId="0" applyFont="1" applyBorder="1" applyAlignment="1">
      <alignment horizontal="center"/>
    </xf>
    <xf numFmtId="0" fontId="0" fillId="0" borderId="24" xfId="0" applyBorder="1"/>
    <xf numFmtId="0" fontId="9" fillId="15" borderId="15" xfId="0" applyFont="1" applyFill="1" applyBorder="1"/>
    <xf numFmtId="0" fontId="11" fillId="18" borderId="6" xfId="0" applyFont="1" applyFill="1" applyBorder="1"/>
    <xf numFmtId="13" fontId="0" fillId="11" borderId="15" xfId="0" applyNumberFormat="1" applyFill="1" applyBorder="1" applyAlignment="1">
      <alignment horizontal="right"/>
    </xf>
    <xf numFmtId="0" fontId="35" fillId="18" borderId="6" xfId="0" applyFont="1" applyFill="1" applyBorder="1"/>
    <xf numFmtId="184" fontId="0" fillId="11" borderId="44" xfId="1" applyNumberFormat="1" applyFont="1" applyFill="1" applyBorder="1" applyAlignment="1" applyProtection="1">
      <alignment horizontal="right"/>
    </xf>
    <xf numFmtId="0" fontId="0" fillId="18" borderId="6" xfId="0" applyFill="1" applyBorder="1" applyAlignment="1">
      <alignment horizontal="center"/>
    </xf>
    <xf numFmtId="192" fontId="0" fillId="0" borderId="0" xfId="0" applyNumberFormat="1"/>
    <xf numFmtId="178" fontId="0" fillId="0" borderId="0" xfId="1" applyNumberFormat="1" applyFont="1" applyBorder="1" applyProtection="1"/>
    <xf numFmtId="0" fontId="11" fillId="18" borderId="6" xfId="0" applyFont="1" applyFill="1" applyBorder="1" applyAlignment="1">
      <alignment horizontal="center"/>
    </xf>
    <xf numFmtId="0" fontId="0" fillId="18" borderId="23" xfId="0" applyFill="1" applyBorder="1" applyAlignment="1">
      <alignment horizontal="center"/>
    </xf>
    <xf numFmtId="0" fontId="11" fillId="0" borderId="0" xfId="0" applyFont="1" applyAlignment="1">
      <alignment wrapText="1"/>
    </xf>
    <xf numFmtId="183" fontId="11" fillId="0" borderId="0" xfId="0" applyNumberFormat="1" applyFont="1" applyAlignment="1">
      <alignment horizontal="center"/>
    </xf>
    <xf numFmtId="3" fontId="0" fillId="0" borderId="0" xfId="0" applyNumberFormat="1"/>
    <xf numFmtId="0" fontId="46" fillId="0" borderId="0" xfId="0" applyFont="1" applyAlignment="1">
      <alignment wrapText="1"/>
    </xf>
    <xf numFmtId="0" fontId="46" fillId="11" borderId="0" xfId="0" applyFont="1" applyFill="1"/>
    <xf numFmtId="0" fontId="46" fillId="11" borderId="0" xfId="0" applyFont="1" applyFill="1" applyAlignment="1">
      <alignment wrapText="1"/>
    </xf>
    <xf numFmtId="0" fontId="46" fillId="0" borderId="0" xfId="0" applyFont="1"/>
    <xf numFmtId="178" fontId="11" fillId="11" borderId="0" xfId="0" applyNumberFormat="1" applyFont="1" applyFill="1"/>
    <xf numFmtId="0" fontId="47" fillId="0" borderId="0" xfId="0" applyFont="1"/>
    <xf numFmtId="0" fontId="47" fillId="0" borderId="0" xfId="0" applyFont="1" applyAlignment="1">
      <alignment horizontal="left"/>
    </xf>
    <xf numFmtId="0" fontId="49" fillId="2" borderId="11" xfId="0" applyFont="1" applyFill="1" applyBorder="1" applyAlignment="1" applyProtection="1">
      <alignment horizontal="center"/>
      <protection locked="0"/>
    </xf>
    <xf numFmtId="0" fontId="47" fillId="0" borderId="0" xfId="0" applyFont="1" applyAlignment="1">
      <alignment vertical="center" wrapText="1"/>
    </xf>
    <xf numFmtId="0" fontId="47" fillId="4" borderId="6" xfId="0" applyFont="1" applyFill="1" applyBorder="1" applyAlignment="1">
      <alignment horizontal="center" vertical="center"/>
    </xf>
    <xf numFmtId="193" fontId="0" fillId="0" borderId="0" xfId="0" applyNumberFormat="1"/>
    <xf numFmtId="9" fontId="0" fillId="0" borderId="0" xfId="0" applyNumberFormat="1"/>
    <xf numFmtId="2" fontId="47" fillId="0" borderId="0" xfId="0" applyNumberFormat="1" applyFont="1"/>
    <xf numFmtId="0" fontId="47" fillId="4" borderId="16" xfId="0" applyFont="1" applyFill="1" applyBorder="1" applyAlignment="1">
      <alignment horizontal="center" vertical="center"/>
    </xf>
    <xf numFmtId="0" fontId="47" fillId="4" borderId="66" xfId="0" applyFont="1" applyFill="1" applyBorder="1" applyAlignment="1">
      <alignment horizontal="center" vertical="center"/>
    </xf>
    <xf numFmtId="2" fontId="48" fillId="3" borderId="11" xfId="0" applyNumberFormat="1" applyFont="1" applyFill="1" applyBorder="1" applyAlignment="1">
      <alignment horizontal="center" vertical="center"/>
    </xf>
    <xf numFmtId="0" fontId="49" fillId="2" borderId="11" xfId="0" applyFont="1" applyFill="1" applyBorder="1" applyAlignment="1" applyProtection="1">
      <alignment horizontal="center" vertical="center"/>
      <protection locked="0"/>
    </xf>
    <xf numFmtId="9" fontId="0" fillId="0" borderId="0" xfId="3" applyFont="1" applyBorder="1" applyProtection="1"/>
    <xf numFmtId="0" fontId="10" fillId="0" borderId="0" xfId="1" applyNumberFormat="1" applyFont="1" applyBorder="1" applyAlignment="1" applyProtection="1">
      <alignment horizontal="center"/>
    </xf>
    <xf numFmtId="9" fontId="10" fillId="0" borderId="0" xfId="3" applyFont="1" applyBorder="1" applyAlignment="1" applyProtection="1">
      <alignment horizontal="center"/>
    </xf>
    <xf numFmtId="194" fontId="0" fillId="0" borderId="0" xfId="0" applyNumberFormat="1"/>
    <xf numFmtId="195" fontId="0" fillId="0" borderId="0" xfId="2" applyNumberFormat="1" applyFont="1" applyBorder="1" applyProtection="1"/>
    <xf numFmtId="194" fontId="0" fillId="0" borderId="0" xfId="3" applyNumberFormat="1" applyFont="1" applyBorder="1" applyProtection="1"/>
    <xf numFmtId="2" fontId="53" fillId="3" borderId="1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49" fillId="2" borderId="11" xfId="0" applyFont="1" applyFill="1" applyBorder="1" applyProtection="1">
      <protection locked="0"/>
    </xf>
    <xf numFmtId="196" fontId="5" fillId="5" borderId="1" xfId="0" applyNumberFormat="1" applyFont="1" applyFill="1" applyBorder="1" applyAlignment="1">
      <alignment horizontal="center" vertical="center" wrapText="1"/>
    </xf>
    <xf numFmtId="0" fontId="0" fillId="20" borderId="0" xfId="0" applyFill="1"/>
    <xf numFmtId="176" fontId="18" fillId="27" borderId="6" xfId="9" applyNumberFormat="1" applyFont="1" applyFill="1" applyBorder="1" applyAlignment="1">
      <alignment horizontal="right" vertical="center" wrapText="1"/>
    </xf>
    <xf numFmtId="0" fontId="18" fillId="24" borderId="6" xfId="9" applyFont="1" applyFill="1" applyBorder="1" applyAlignment="1">
      <alignment horizontal="left" vertical="center" wrapText="1"/>
    </xf>
    <xf numFmtId="0" fontId="18" fillId="24" borderId="6" xfId="9" applyFont="1" applyFill="1" applyBorder="1" applyAlignment="1">
      <alignment horizontal="center" vertical="center"/>
    </xf>
    <xf numFmtId="175" fontId="18" fillId="19" borderId="6" xfId="9" applyNumberFormat="1" applyFont="1" applyFill="1" applyBorder="1" applyAlignment="1">
      <alignment horizontal="right" vertical="center" wrapText="1"/>
    </xf>
    <xf numFmtId="175" fontId="18" fillId="19" borderId="16" xfId="9" applyNumberFormat="1" applyFont="1" applyFill="1" applyBorder="1" applyAlignment="1">
      <alignment horizontal="right" vertical="center" wrapText="1"/>
    </xf>
    <xf numFmtId="0" fontId="17" fillId="24" borderId="6" xfId="9" applyFont="1" applyFill="1" applyBorder="1" applyAlignment="1">
      <alignment horizontal="left" vertical="center" wrapText="1"/>
    </xf>
    <xf numFmtId="0" fontId="17" fillId="24" borderId="6" xfId="9" applyFont="1" applyFill="1" applyBorder="1" applyAlignment="1">
      <alignment horizontal="center" vertical="center"/>
    </xf>
    <xf numFmtId="175" fontId="22" fillId="19" borderId="6" xfId="9" applyNumberFormat="1" applyFont="1" applyFill="1" applyBorder="1" applyAlignment="1">
      <alignment horizontal="right" vertical="center" wrapText="1"/>
    </xf>
    <xf numFmtId="175" fontId="18" fillId="24" borderId="6" xfId="9" applyNumberFormat="1" applyFont="1" applyFill="1" applyBorder="1" applyAlignment="1">
      <alignment horizontal="right" vertical="center" wrapText="1"/>
    </xf>
    <xf numFmtId="1" fontId="18" fillId="24" borderId="6" xfId="9" applyNumberFormat="1" applyFont="1" applyFill="1" applyBorder="1" applyAlignment="1">
      <alignment horizontal="center" vertical="center"/>
    </xf>
    <xf numFmtId="0" fontId="18" fillId="24" borderId="6" xfId="9" applyFont="1" applyFill="1" applyBorder="1" applyAlignment="1">
      <alignment horizontal="center" vertical="center" wrapText="1"/>
    </xf>
    <xf numFmtId="0" fontId="17" fillId="23" borderId="71" xfId="0" applyFont="1" applyFill="1" applyBorder="1" applyAlignment="1">
      <alignment horizontal="center" vertical="center" wrapText="1"/>
    </xf>
    <xf numFmtId="0" fontId="17" fillId="23" borderId="72" xfId="0" applyFont="1" applyFill="1" applyBorder="1" applyAlignment="1">
      <alignment horizontal="center" vertical="center" wrapText="1"/>
    </xf>
    <xf numFmtId="170" fontId="17" fillId="23" borderId="73" xfId="1" applyNumberFormat="1" applyFont="1" applyFill="1" applyBorder="1" applyAlignment="1" applyProtection="1">
      <alignment horizontal="center" vertical="center" wrapText="1"/>
    </xf>
    <xf numFmtId="1" fontId="17" fillId="23" borderId="73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57" fillId="25" borderId="70" xfId="0" applyFont="1" applyFill="1" applyBorder="1" applyAlignment="1">
      <alignment horizontal="left" vertical="center" wrapText="1"/>
    </xf>
    <xf numFmtId="0" fontId="17" fillId="26" borderId="70" xfId="0" applyFont="1" applyFill="1" applyBorder="1" applyAlignment="1">
      <alignment horizontal="center" vertical="center" wrapText="1"/>
    </xf>
    <xf numFmtId="170" fontId="18" fillId="20" borderId="73" xfId="1" applyNumberFormat="1" applyFont="1" applyFill="1" applyBorder="1" applyAlignment="1" applyProtection="1">
      <alignment horizontal="center" vertical="center" wrapText="1"/>
    </xf>
    <xf numFmtId="170" fontId="18" fillId="20" borderId="70" xfId="1" applyNumberFormat="1" applyFont="1" applyFill="1" applyBorder="1" applyAlignment="1" applyProtection="1">
      <alignment horizontal="right" vertical="center" wrapText="1"/>
    </xf>
    <xf numFmtId="175" fontId="18" fillId="20" borderId="74" xfId="12" applyNumberFormat="1" applyFont="1" applyFill="1" applyBorder="1" applyAlignment="1" applyProtection="1">
      <alignment horizontal="right" vertical="center" wrapText="1"/>
    </xf>
    <xf numFmtId="0" fontId="18" fillId="19" borderId="70" xfId="14" applyFont="1" applyFill="1" applyBorder="1" applyAlignment="1">
      <alignment horizontal="left" vertical="center" wrapText="1"/>
    </xf>
    <xf numFmtId="0" fontId="18" fillId="19" borderId="70" xfId="14" applyFont="1" applyFill="1" applyBorder="1" applyAlignment="1">
      <alignment horizontal="center" vertical="center" wrapText="1"/>
    </xf>
    <xf numFmtId="170" fontId="18" fillId="19" borderId="73" xfId="1" applyNumberFormat="1" applyFont="1" applyFill="1" applyBorder="1" applyAlignment="1" applyProtection="1">
      <alignment horizontal="center" vertical="center" wrapText="1"/>
    </xf>
    <xf numFmtId="175" fontId="18" fillId="22" borderId="74" xfId="12" applyNumberFormat="1" applyFont="1" applyFill="1" applyBorder="1" applyAlignment="1" applyProtection="1">
      <alignment horizontal="right" vertical="center" wrapText="1"/>
    </xf>
    <xf numFmtId="170" fontId="18" fillId="22" borderId="73" xfId="1" applyNumberFormat="1" applyFont="1" applyFill="1" applyBorder="1" applyAlignment="1" applyProtection="1">
      <alignment horizontal="center" vertical="center" wrapText="1"/>
    </xf>
    <xf numFmtId="175" fontId="18" fillId="19" borderId="74" xfId="12" applyNumberFormat="1" applyFont="1" applyFill="1" applyBorder="1" applyAlignment="1" applyProtection="1">
      <alignment horizontal="right" vertical="center" wrapText="1"/>
    </xf>
    <xf numFmtId="0" fontId="18" fillId="26" borderId="70" xfId="0" applyFont="1" applyFill="1" applyBorder="1" applyAlignment="1">
      <alignment horizontal="center" vertical="center" wrapText="1"/>
    </xf>
    <xf numFmtId="0" fontId="58" fillId="20" borderId="75" xfId="0" applyFont="1" applyFill="1" applyBorder="1" applyAlignment="1">
      <alignment horizontal="left" vertical="center" wrapText="1"/>
    </xf>
    <xf numFmtId="175" fontId="17" fillId="20" borderId="74" xfId="12" applyNumberFormat="1" applyFont="1" applyFill="1" applyBorder="1" applyAlignment="1" applyProtection="1">
      <alignment horizontal="right" vertical="center" wrapText="1"/>
    </xf>
    <xf numFmtId="0" fontId="18" fillId="24" borderId="70" xfId="14" applyFont="1" applyFill="1" applyBorder="1" applyAlignment="1">
      <alignment horizontal="left" vertical="center" wrapText="1"/>
    </xf>
    <xf numFmtId="0" fontId="18" fillId="24" borderId="70" xfId="14" applyFont="1" applyFill="1" applyBorder="1" applyAlignment="1">
      <alignment horizontal="center" vertical="center" wrapText="1"/>
    </xf>
    <xf numFmtId="175" fontId="57" fillId="21" borderId="70" xfId="15" applyNumberFormat="1" applyFont="1" applyFill="1" applyBorder="1" applyAlignment="1" applyProtection="1">
      <alignment vertical="center" wrapText="1"/>
    </xf>
    <xf numFmtId="0" fontId="15" fillId="0" borderId="0" xfId="0" applyFont="1" applyAlignment="1">
      <alignment vertical="center"/>
    </xf>
    <xf numFmtId="170" fontId="15" fillId="0" borderId="0" xfId="1" applyNumberFormat="1" applyFont="1" applyBorder="1" applyAlignment="1" applyProtection="1">
      <alignment vertical="center" wrapText="1"/>
    </xf>
    <xf numFmtId="0" fontId="57" fillId="0" borderId="0" xfId="0" applyFont="1" applyAlignment="1">
      <alignment horizontal="right" vertical="center" wrapText="1"/>
    </xf>
    <xf numFmtId="170" fontId="18" fillId="0" borderId="0" xfId="1" applyNumberFormat="1" applyFont="1" applyBorder="1" applyAlignment="1" applyProtection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170" fontId="15" fillId="0" borderId="0" xfId="1" applyNumberFormat="1" applyFont="1" applyBorder="1" applyAlignment="1" applyProtection="1">
      <alignment horizontal="center" vertical="center" wrapText="1"/>
    </xf>
    <xf numFmtId="0" fontId="15" fillId="19" borderId="0" xfId="0" applyFont="1" applyFill="1"/>
    <xf numFmtId="0" fontId="15" fillId="19" borderId="0" xfId="0" applyFont="1" applyFill="1" applyAlignment="1">
      <alignment horizontal="center"/>
    </xf>
    <xf numFmtId="0" fontId="15" fillId="22" borderId="0" xfId="0" applyFont="1" applyFill="1"/>
    <xf numFmtId="0" fontId="0" fillId="20" borderId="0" xfId="0" applyFill="1" applyAlignment="1">
      <alignment horizontal="center"/>
    </xf>
    <xf numFmtId="0" fontId="0" fillId="19" borderId="0" xfId="0" applyFill="1"/>
    <xf numFmtId="0" fontId="0" fillId="22" borderId="0" xfId="0" applyFill="1"/>
    <xf numFmtId="0" fontId="4" fillId="26" borderId="0" xfId="0" applyFont="1" applyFill="1" applyAlignment="1">
      <alignment horizontal="center" vertical="center"/>
    </xf>
    <xf numFmtId="0" fontId="4" fillId="26" borderId="0" xfId="0" applyFont="1" applyFill="1" applyAlignment="1">
      <alignment horizontal="center" vertical="center" wrapText="1"/>
    </xf>
    <xf numFmtId="0" fontId="4" fillId="28" borderId="0" xfId="0" applyFont="1" applyFill="1" applyAlignment="1">
      <alignment horizontal="center" vertical="center" wrapText="1"/>
    </xf>
    <xf numFmtId="0" fontId="7" fillId="29" borderId="0" xfId="0" applyFont="1" applyFill="1" applyAlignment="1">
      <alignment horizontal="center" vertical="center" wrapText="1"/>
    </xf>
    <xf numFmtId="0" fontId="7" fillId="30" borderId="0" xfId="0" applyFont="1" applyFill="1" applyAlignment="1">
      <alignment horizontal="center" vertical="center" wrapText="1"/>
    </xf>
    <xf numFmtId="166" fontId="0" fillId="22" borderId="0" xfId="1" applyFont="1" applyFill="1" applyBorder="1" applyAlignment="1" applyProtection="1">
      <alignment horizontal="right" vertical="center"/>
    </xf>
    <xf numFmtId="166" fontId="0" fillId="22" borderId="0" xfId="1" applyFont="1" applyFill="1" applyBorder="1" applyAlignment="1" applyProtection="1">
      <alignment horizontal="right"/>
    </xf>
    <xf numFmtId="166" fontId="0" fillId="19" borderId="0" xfId="0" applyNumberFormat="1" applyFill="1" applyAlignment="1">
      <alignment horizontal="right" vertical="center"/>
    </xf>
    <xf numFmtId="166" fontId="0" fillId="19" borderId="0" xfId="0" applyNumberFormat="1" applyFill="1" applyAlignment="1">
      <alignment horizontal="right"/>
    </xf>
    <xf numFmtId="166" fontId="0" fillId="19" borderId="0" xfId="1" applyFont="1" applyFill="1" applyBorder="1" applyAlignment="1" applyProtection="1">
      <alignment horizontal="right"/>
    </xf>
    <xf numFmtId="166" fontId="4" fillId="19" borderId="0" xfId="0" applyNumberFormat="1" applyFont="1" applyFill="1" applyAlignment="1">
      <alignment horizontal="right"/>
    </xf>
    <xf numFmtId="0" fontId="0" fillId="19" borderId="0" xfId="0" applyFill="1" applyAlignment="1">
      <alignment horizontal="center" vertical="center"/>
    </xf>
    <xf numFmtId="166" fontId="0" fillId="19" borderId="0" xfId="1" applyFont="1" applyFill="1" applyBorder="1" applyAlignment="1" applyProtection="1">
      <alignment horizontal="right" vertical="center"/>
    </xf>
    <xf numFmtId="0" fontId="0" fillId="19" borderId="0" xfId="0" applyFill="1" applyAlignment="1">
      <alignment horizontal="center"/>
    </xf>
    <xf numFmtId="166" fontId="0" fillId="19" borderId="0" xfId="1" applyFont="1" applyFill="1" applyBorder="1" applyProtection="1"/>
    <xf numFmtId="3" fontId="0" fillId="19" borderId="0" xfId="0" applyNumberFormat="1" applyFill="1"/>
    <xf numFmtId="0" fontId="0" fillId="19" borderId="0" xfId="9" applyFont="1" applyFill="1"/>
    <xf numFmtId="3" fontId="55" fillId="19" borderId="0" xfId="9" applyNumberFormat="1" applyFill="1"/>
    <xf numFmtId="166" fontId="0" fillId="20" borderId="0" xfId="1" applyFont="1" applyFill="1" applyBorder="1" applyProtection="1"/>
    <xf numFmtId="0" fontId="0" fillId="20" borderId="0" xfId="9" applyFont="1" applyFill="1"/>
    <xf numFmtId="175" fontId="57" fillId="23" borderId="70" xfId="15" applyNumberFormat="1" applyFont="1" applyFill="1" applyBorder="1" applyAlignment="1" applyProtection="1">
      <alignment vertical="center" wrapText="1"/>
    </xf>
    <xf numFmtId="0" fontId="5" fillId="31" borderId="0" xfId="0" applyFont="1" applyFill="1" applyAlignment="1">
      <alignment horizontal="center" vertical="center"/>
    </xf>
    <xf numFmtId="0" fontId="5" fillId="31" borderId="0" xfId="0" applyFont="1" applyFill="1" applyAlignment="1">
      <alignment horizontal="left" vertical="center"/>
    </xf>
    <xf numFmtId="10" fontId="5" fillId="31" borderId="0" xfId="0" applyNumberFormat="1" applyFont="1" applyFill="1" applyAlignment="1">
      <alignment horizontal="center" vertical="center"/>
    </xf>
    <xf numFmtId="10" fontId="60" fillId="32" borderId="0" xfId="0" applyNumberFormat="1" applyFont="1" applyFill="1" applyAlignment="1">
      <alignment horizontal="center"/>
    </xf>
    <xf numFmtId="176" fontId="18" fillId="34" borderId="6" xfId="9" applyNumberFormat="1" applyFont="1" applyFill="1" applyBorder="1" applyAlignment="1">
      <alignment horizontal="right" vertical="center" wrapText="1"/>
    </xf>
    <xf numFmtId="170" fontId="18" fillId="34" borderId="6" xfId="1" applyNumberFormat="1" applyFont="1" applyFill="1" applyBorder="1" applyAlignment="1" applyProtection="1">
      <alignment horizontal="right" vertical="center" wrapText="1"/>
    </xf>
    <xf numFmtId="170" fontId="18" fillId="36" borderId="6" xfId="5" applyNumberFormat="1" applyFont="1" applyFill="1" applyBorder="1" applyAlignment="1" applyProtection="1">
      <alignment horizontal="right" vertical="center"/>
    </xf>
    <xf numFmtId="170" fontId="18" fillId="35" borderId="6" xfId="1" applyNumberFormat="1" applyFont="1" applyFill="1" applyBorder="1" applyAlignment="1" applyProtection="1">
      <alignment horizontal="right" vertical="center" wrapText="1"/>
    </xf>
    <xf numFmtId="170" fontId="18" fillId="34" borderId="6" xfId="5" applyNumberFormat="1" applyFont="1" applyFill="1" applyBorder="1" applyAlignment="1" applyProtection="1">
      <alignment horizontal="right" vertical="center"/>
    </xf>
    <xf numFmtId="175" fontId="18" fillId="34" borderId="6" xfId="9" applyNumberFormat="1" applyFont="1" applyFill="1" applyBorder="1" applyAlignment="1">
      <alignment horizontal="right" vertical="center" wrapText="1"/>
    </xf>
    <xf numFmtId="177" fontId="18" fillId="34" borderId="6" xfId="9" applyNumberFormat="1" applyFont="1" applyFill="1" applyBorder="1" applyAlignment="1">
      <alignment horizontal="right" vertical="center" wrapText="1"/>
    </xf>
    <xf numFmtId="178" fontId="18" fillId="34" borderId="6" xfId="1" applyNumberFormat="1" applyFont="1" applyFill="1" applyBorder="1" applyAlignment="1" applyProtection="1">
      <alignment horizontal="right" vertical="center"/>
    </xf>
    <xf numFmtId="170" fontId="18" fillId="34" borderId="16" xfId="1" applyNumberFormat="1" applyFont="1" applyFill="1" applyBorder="1" applyAlignment="1" applyProtection="1">
      <alignment horizontal="right" vertical="center" wrapText="1"/>
    </xf>
    <xf numFmtId="170" fontId="18" fillId="28" borderId="6" xfId="5" applyNumberFormat="1" applyFont="1" applyFill="1" applyBorder="1" applyAlignment="1" applyProtection="1">
      <alignment horizontal="right" vertical="center"/>
    </xf>
    <xf numFmtId="170" fontId="18" fillId="34" borderId="6" xfId="5" applyNumberFormat="1" applyFont="1" applyFill="1" applyBorder="1" applyAlignment="1" applyProtection="1">
      <alignment horizontal="right" vertical="center" wrapText="1"/>
    </xf>
    <xf numFmtId="170" fontId="18" fillId="28" borderId="6" xfId="1" applyNumberFormat="1" applyFont="1" applyFill="1" applyBorder="1" applyAlignment="1" applyProtection="1">
      <alignment horizontal="right" vertical="center" wrapText="1"/>
    </xf>
    <xf numFmtId="0" fontId="15" fillId="28" borderId="6" xfId="0" applyFont="1" applyFill="1" applyBorder="1"/>
    <xf numFmtId="0" fontId="7" fillId="0" borderId="0" xfId="0" applyFont="1" applyProtection="1">
      <protection locked="0"/>
    </xf>
    <xf numFmtId="0" fontId="4" fillId="33" borderId="8" xfId="0" applyFont="1" applyFill="1" applyBorder="1" applyAlignment="1">
      <alignment horizontal="center" vertical="center" wrapText="1"/>
    </xf>
    <xf numFmtId="0" fontId="4" fillId="33" borderId="5" xfId="0" applyFont="1" applyFill="1" applyBorder="1" applyAlignment="1">
      <alignment horizontal="center" vertical="center" wrapText="1"/>
    </xf>
    <xf numFmtId="0" fontId="4" fillId="33" borderId="18" xfId="0" applyFont="1" applyFill="1" applyBorder="1" applyAlignment="1">
      <alignment horizontal="center" vertical="center" wrapText="1"/>
    </xf>
    <xf numFmtId="168" fontId="5" fillId="3" borderId="10" xfId="1" applyNumberFormat="1" applyFont="1" applyFill="1" applyBorder="1" applyAlignment="1" applyProtection="1">
      <alignment horizontal="center" vertical="center"/>
    </xf>
    <xf numFmtId="10" fontId="5" fillId="3" borderId="31" xfId="1" applyNumberFormat="1" applyFont="1" applyFill="1" applyBorder="1" applyAlignment="1" applyProtection="1">
      <alignment horizontal="center" vertical="center"/>
    </xf>
    <xf numFmtId="180" fontId="0" fillId="37" borderId="0" xfId="1" applyNumberFormat="1" applyFont="1" applyFill="1" applyBorder="1" applyProtection="1"/>
    <xf numFmtId="180" fontId="0" fillId="34" borderId="0" xfId="1" applyNumberFormat="1" applyFont="1" applyFill="1" applyBorder="1" applyProtection="1"/>
    <xf numFmtId="171" fontId="5" fillId="4" borderId="1" xfId="0" applyNumberFormat="1" applyFont="1" applyFill="1" applyBorder="1" applyAlignment="1">
      <alignment horizontal="center" wrapText="1"/>
    </xf>
    <xf numFmtId="17" fontId="0" fillId="0" borderId="0" xfId="0" applyNumberFormat="1"/>
    <xf numFmtId="183" fontId="0" fillId="0" borderId="0" xfId="0" applyNumberFormat="1"/>
    <xf numFmtId="0" fontId="5" fillId="38" borderId="0" xfId="0" applyFont="1" applyFill="1" applyAlignment="1">
      <alignment horizontal="left" vertical="center"/>
    </xf>
    <xf numFmtId="3" fontId="61" fillId="19" borderId="0" xfId="16" applyNumberFormat="1" applyFill="1" applyBorder="1" applyAlignment="1" applyProtection="1">
      <alignment horizontal="left" vertical="center"/>
    </xf>
    <xf numFmtId="0" fontId="5" fillId="0" borderId="0" xfId="0" applyFont="1" applyAlignment="1">
      <alignment horizontal="left" vertical="center"/>
    </xf>
    <xf numFmtId="0" fontId="62" fillId="0" borderId="0" xfId="0" applyFont="1"/>
    <xf numFmtId="0" fontId="61" fillId="0" borderId="0" xfId="16" applyAlignment="1"/>
    <xf numFmtId="0" fontId="0" fillId="39" borderId="1" xfId="0" applyFill="1" applyBorder="1" applyAlignment="1">
      <alignment horizontal="center"/>
    </xf>
    <xf numFmtId="3" fontId="8" fillId="39" borderId="20" xfId="0" applyNumberFormat="1" applyFont="1" applyFill="1" applyBorder="1" applyProtection="1">
      <protection locked="0"/>
    </xf>
    <xf numFmtId="0" fontId="9" fillId="40" borderId="0" xfId="0" applyFont="1" applyFill="1" applyAlignment="1">
      <alignment horizontal="centerContinuous" vertical="center" wrapText="1"/>
    </xf>
    <xf numFmtId="0" fontId="9" fillId="41" borderId="0" xfId="0" applyFont="1" applyFill="1" applyAlignment="1">
      <alignment horizontal="centerContinuous" vertical="center" wrapText="1"/>
    </xf>
    <xf numFmtId="0" fontId="5" fillId="42" borderId="1" xfId="0" applyFont="1" applyFill="1" applyBorder="1" applyAlignment="1">
      <alignment horizontal="center" vertical="center"/>
    </xf>
    <xf numFmtId="0" fontId="60" fillId="19" borderId="0" xfId="0" applyFont="1" applyFill="1" applyAlignment="1">
      <alignment horizontal="center" vertical="center"/>
    </xf>
    <xf numFmtId="10" fontId="60" fillId="19" borderId="0" xfId="3" applyNumberFormat="1" applyFont="1" applyFill="1" applyAlignment="1">
      <alignment vertical="center"/>
    </xf>
    <xf numFmtId="0" fontId="10" fillId="31" borderId="13" xfId="0" applyFont="1" applyFill="1" applyBorder="1" applyAlignment="1">
      <alignment horizontal="center"/>
    </xf>
    <xf numFmtId="10" fontId="55" fillId="42" borderId="1" xfId="1" applyNumberFormat="1" applyFill="1" applyBorder="1" applyProtection="1"/>
    <xf numFmtId="0" fontId="5" fillId="43" borderId="1" xfId="0" applyFont="1" applyFill="1" applyBorder="1" applyAlignment="1">
      <alignment horizontal="center" vertical="center"/>
    </xf>
    <xf numFmtId="199" fontId="10" fillId="31" borderId="13" xfId="0" applyNumberFormat="1" applyFont="1" applyFill="1" applyBorder="1" applyAlignment="1">
      <alignment horizontal="center"/>
    </xf>
    <xf numFmtId="10" fontId="55" fillId="44" borderId="1" xfId="1" applyNumberFormat="1" applyFill="1" applyBorder="1" applyProtection="1"/>
    <xf numFmtId="9" fontId="0" fillId="0" borderId="0" xfId="3" applyFont="1"/>
    <xf numFmtId="0" fontId="5" fillId="4" borderId="0" xfId="0" applyFont="1" applyFill="1"/>
    <xf numFmtId="43" fontId="18" fillId="34" borderId="6" xfId="1" applyNumberFormat="1" applyFont="1" applyFill="1" applyBorder="1" applyAlignment="1" applyProtection="1">
      <alignment horizontal="right" vertical="center" wrapText="1"/>
    </xf>
    <xf numFmtId="0" fontId="63" fillId="0" borderId="0" xfId="0" applyFont="1" applyAlignment="1">
      <alignment vertical="center"/>
    </xf>
    <xf numFmtId="166" fontId="6" fillId="39" borderId="0" xfId="1" applyFont="1" applyFill="1" applyBorder="1" applyAlignment="1" applyProtection="1">
      <alignment horizontal="center" vertical="center"/>
      <protection locked="0"/>
    </xf>
    <xf numFmtId="0" fontId="64" fillId="0" borderId="0" xfId="0" applyFont="1" applyAlignment="1">
      <alignment wrapText="1"/>
    </xf>
    <xf numFmtId="164" fontId="0" fillId="0" borderId="0" xfId="17" applyFont="1"/>
    <xf numFmtId="14" fontId="0" fillId="0" borderId="0" xfId="0" applyNumberFormat="1"/>
    <xf numFmtId="14" fontId="0" fillId="0" borderId="75" xfId="0" applyNumberFormat="1" applyBorder="1" applyAlignment="1">
      <alignment horizontal="center" vertical="center" wrapText="1"/>
    </xf>
    <xf numFmtId="200" fontId="0" fillId="0" borderId="75" xfId="0" applyNumberFormat="1" applyBorder="1" applyAlignment="1">
      <alignment horizontal="center" vertical="center" wrapText="1"/>
    </xf>
    <xf numFmtId="0" fontId="0" fillId="0" borderId="75" xfId="0" applyBorder="1" applyAlignment="1">
      <alignment horizontal="center"/>
    </xf>
    <xf numFmtId="2" fontId="0" fillId="0" borderId="75" xfId="0" applyNumberFormat="1" applyBorder="1" applyAlignment="1">
      <alignment horizontal="center"/>
    </xf>
    <xf numFmtId="14" fontId="0" fillId="0" borderId="0" xfId="0" applyNumberFormat="1" applyAlignment="1">
      <alignment horizontal="center" vertical="center" wrapText="1"/>
    </xf>
    <xf numFmtId="1" fontId="17" fillId="23" borderId="77" xfId="0" applyNumberFormat="1" applyFont="1" applyFill="1" applyBorder="1" applyAlignment="1">
      <alignment horizontal="center" vertical="center" wrapText="1"/>
    </xf>
    <xf numFmtId="1" fontId="17" fillId="23" borderId="78" xfId="0" applyNumberFormat="1" applyFont="1" applyFill="1" applyBorder="1" applyAlignment="1">
      <alignment horizontal="center" vertical="center" wrapText="1"/>
    </xf>
    <xf numFmtId="170" fontId="65" fillId="45" borderId="73" xfId="1" applyNumberFormat="1" applyFont="1" applyFill="1" applyBorder="1" applyAlignment="1" applyProtection="1">
      <alignment horizontal="center" vertical="center" wrapText="1"/>
    </xf>
    <xf numFmtId="201" fontId="0" fillId="0" borderId="0" xfId="0" applyNumberFormat="1" applyProtection="1">
      <protection locked="0"/>
    </xf>
    <xf numFmtId="0" fontId="17" fillId="46" borderId="6" xfId="9" applyFont="1" applyFill="1" applyBorder="1" applyAlignment="1">
      <alignment horizontal="center" vertical="center" wrapText="1"/>
    </xf>
    <xf numFmtId="0" fontId="0" fillId="0" borderId="37" xfId="0" applyBorder="1"/>
    <xf numFmtId="17" fontId="0" fillId="4" borderId="1" xfId="0" applyNumberFormat="1" applyFill="1" applyBorder="1" applyAlignment="1">
      <alignment horizontal="center"/>
    </xf>
    <xf numFmtId="0" fontId="66" fillId="47" borderId="0" xfId="0" applyFont="1" applyFill="1"/>
    <xf numFmtId="10" fontId="59" fillId="48" borderId="0" xfId="0" applyNumberFormat="1" applyFont="1" applyFill="1" applyAlignment="1" applyProtection="1">
      <alignment horizontal="center" vertical="center"/>
      <protection locked="0"/>
    </xf>
    <xf numFmtId="0" fontId="69" fillId="0" borderId="0" xfId="0" applyFont="1"/>
    <xf numFmtId="2" fontId="0" fillId="3" borderId="1" xfId="0" applyNumberFormat="1" applyFill="1" applyBorder="1" applyAlignment="1">
      <alignment horizontal="center"/>
    </xf>
    <xf numFmtId="0" fontId="61" fillId="0" borderId="0" xfId="16"/>
    <xf numFmtId="167" fontId="5" fillId="3" borderId="49" xfId="8" applyFont="1" applyFill="1" applyBorder="1" applyAlignment="1">
      <alignment vertical="center"/>
    </xf>
    <xf numFmtId="167" fontId="5" fillId="3" borderId="79" xfId="8" applyFont="1" applyFill="1" applyBorder="1" applyAlignment="1">
      <alignment horizontal="center" vertical="center"/>
    </xf>
    <xf numFmtId="0" fontId="71" fillId="0" borderId="0" xfId="0" applyFont="1"/>
    <xf numFmtId="0" fontId="67" fillId="0" borderId="0" xfId="0" applyFont="1"/>
    <xf numFmtId="0" fontId="68" fillId="0" borderId="0" xfId="0" applyFont="1"/>
    <xf numFmtId="0" fontId="70" fillId="0" borderId="0" xfId="0" applyFont="1"/>
    <xf numFmtId="0" fontId="60" fillId="0" borderId="0" xfId="0" applyFont="1" applyAlignment="1">
      <alignment horizontal="center"/>
    </xf>
    <xf numFmtId="0" fontId="72" fillId="0" borderId="0" xfId="0" applyFont="1"/>
    <xf numFmtId="17" fontId="5" fillId="4" borderId="0" xfId="0" applyNumberFormat="1" applyFont="1" applyFill="1" applyAlignment="1" applyProtection="1">
      <alignment horizontal="center"/>
      <protection locked="0"/>
    </xf>
    <xf numFmtId="183" fontId="5" fillId="43" borderId="1" xfId="0" applyNumberFormat="1" applyFont="1" applyFill="1" applyBorder="1" applyAlignment="1">
      <alignment horizontal="center" vertical="center"/>
    </xf>
    <xf numFmtId="10" fontId="0" fillId="0" borderId="0" xfId="0" applyNumberFormat="1"/>
    <xf numFmtId="174" fontId="5" fillId="3" borderId="6" xfId="1" applyNumberFormat="1" applyFont="1" applyFill="1" applyBorder="1" applyAlignment="1" applyProtection="1">
      <alignment horizontal="center" vertical="center"/>
    </xf>
    <xf numFmtId="174" fontId="5" fillId="3" borderId="7" xfId="1" applyNumberFormat="1" applyFont="1" applyFill="1" applyBorder="1" applyAlignment="1" applyProtection="1">
      <alignment horizontal="center" vertical="center"/>
    </xf>
    <xf numFmtId="174" fontId="5" fillId="3" borderId="5" xfId="1" applyNumberFormat="1" applyFont="1" applyFill="1" applyBorder="1" applyAlignment="1" applyProtection="1">
      <alignment horizontal="center" vertical="center"/>
    </xf>
    <xf numFmtId="174" fontId="5" fillId="3" borderId="52" xfId="1" applyNumberFormat="1" applyFont="1" applyFill="1" applyBorder="1" applyAlignment="1" applyProtection="1">
      <alignment horizontal="center" vertical="center"/>
    </xf>
    <xf numFmtId="174" fontId="76" fillId="3" borderId="7" xfId="1" applyNumberFormat="1" applyFont="1" applyFill="1" applyBorder="1" applyAlignment="1" applyProtection="1">
      <alignment horizontal="center" vertical="center"/>
    </xf>
    <xf numFmtId="168" fontId="75" fillId="3" borderId="6" xfId="1" applyNumberFormat="1" applyFont="1" applyFill="1" applyBorder="1" applyAlignment="1" applyProtection="1">
      <alignment horizontal="center" vertical="center"/>
    </xf>
    <xf numFmtId="174" fontId="76" fillId="49" borderId="6" xfId="1" applyNumberFormat="1" applyFont="1" applyFill="1" applyBorder="1" applyAlignment="1" applyProtection="1">
      <alignment horizontal="center" vertical="center"/>
    </xf>
    <xf numFmtId="168" fontId="75" fillId="49" borderId="7" xfId="1" applyNumberFormat="1" applyFont="1" applyFill="1" applyBorder="1" applyAlignment="1" applyProtection="1">
      <alignment horizontal="center" vertical="center"/>
    </xf>
    <xf numFmtId="0" fontId="79" fillId="0" borderId="0" xfId="0" applyFont="1" applyProtection="1">
      <protection locked="0"/>
    </xf>
    <xf numFmtId="0" fontId="0" fillId="0" borderId="0" xfId="0" applyAlignment="1" applyProtection="1">
      <alignment horizontal="right"/>
      <protection locked="0"/>
    </xf>
    <xf numFmtId="17" fontId="0" fillId="0" borderId="0" xfId="0" applyNumberFormat="1" applyAlignment="1" applyProtection="1">
      <alignment horizontal="left"/>
      <protection locked="0"/>
    </xf>
    <xf numFmtId="0" fontId="17" fillId="4" borderId="0" xfId="0" applyFont="1" applyFill="1" applyProtection="1">
      <protection locked="0"/>
    </xf>
    <xf numFmtId="0" fontId="42" fillId="4" borderId="0" xfId="0" applyFont="1" applyFill="1" applyAlignment="1">
      <alignment horizontal="left" vertical="center"/>
    </xf>
    <xf numFmtId="166" fontId="81" fillId="28" borderId="0" xfId="1" applyFont="1" applyFill="1" applyBorder="1" applyAlignment="1" applyProtection="1">
      <alignment horizontal="center"/>
      <protection locked="0"/>
    </xf>
    <xf numFmtId="166" fontId="82" fillId="3" borderId="0" xfId="1" applyFont="1" applyFill="1" applyBorder="1" applyAlignment="1" applyProtection="1">
      <alignment horizontal="center"/>
    </xf>
    <xf numFmtId="202" fontId="0" fillId="0" borderId="0" xfId="0" applyNumberFormat="1"/>
    <xf numFmtId="202" fontId="0" fillId="0" borderId="0" xfId="0" applyNumberFormat="1" applyAlignment="1">
      <alignment horizontal="center" vertical="center" wrapText="1"/>
    </xf>
    <xf numFmtId="203" fontId="83" fillId="0" borderId="0" xfId="19" applyNumberFormat="1" applyFont="1" applyAlignment="1">
      <alignment horizontal="right"/>
    </xf>
    <xf numFmtId="0" fontId="17" fillId="52" borderId="21" xfId="9" applyFont="1" applyFill="1" applyBorder="1" applyAlignment="1">
      <alignment horizontal="center" vertical="center" wrapText="1"/>
    </xf>
    <xf numFmtId="166" fontId="55" fillId="0" borderId="0" xfId="1"/>
    <xf numFmtId="204" fontId="0" fillId="0" borderId="0" xfId="0" applyNumberFormat="1" applyProtection="1">
      <protection locked="0"/>
    </xf>
    <xf numFmtId="205" fontId="18" fillId="34" borderId="6" xfId="18" applyNumberFormat="1" applyFont="1" applyFill="1" applyBorder="1" applyAlignment="1">
      <alignment horizontal="right" vertical="center" wrapText="1"/>
    </xf>
    <xf numFmtId="205" fontId="17" fillId="4" borderId="6" xfId="9" applyNumberFormat="1" applyFont="1" applyFill="1" applyBorder="1" applyAlignment="1">
      <alignment horizontal="right" vertical="center"/>
    </xf>
    <xf numFmtId="205" fontId="18" fillId="0" borderId="6" xfId="9" applyNumberFormat="1" applyFont="1" applyBorder="1" applyAlignment="1">
      <alignment horizontal="right" vertical="center" wrapText="1"/>
    </xf>
    <xf numFmtId="205" fontId="18" fillId="51" borderId="6" xfId="18" applyNumberFormat="1" applyFont="1" applyFill="1" applyBorder="1" applyAlignment="1">
      <alignment horizontal="right" vertical="center" wrapText="1"/>
    </xf>
    <xf numFmtId="0" fontId="17" fillId="52" borderId="24" xfId="9" applyFont="1" applyFill="1" applyBorder="1" applyAlignment="1">
      <alignment horizontal="center" vertical="center" wrapText="1"/>
    </xf>
    <xf numFmtId="175" fontId="17" fillId="4" borderId="15" xfId="9" applyNumberFormat="1" applyFont="1" applyFill="1" applyBorder="1" applyAlignment="1">
      <alignment horizontal="right" vertical="center"/>
    </xf>
    <xf numFmtId="205" fontId="18" fillId="34" borderId="15" xfId="18" applyNumberFormat="1" applyFont="1" applyFill="1" applyBorder="1" applyAlignment="1">
      <alignment horizontal="right" vertical="center" wrapText="1"/>
    </xf>
    <xf numFmtId="205" fontId="17" fillId="4" borderId="15" xfId="9" applyNumberFormat="1" applyFont="1" applyFill="1" applyBorder="1" applyAlignment="1">
      <alignment horizontal="right" vertical="center"/>
    </xf>
    <xf numFmtId="205" fontId="18" fillId="0" borderId="15" xfId="9" applyNumberFormat="1" applyFont="1" applyBorder="1" applyAlignment="1">
      <alignment horizontal="right" vertical="center" wrapText="1"/>
    </xf>
    <xf numFmtId="205" fontId="18" fillId="51" borderId="15" xfId="18" applyNumberFormat="1" applyFont="1" applyFill="1" applyBorder="1" applyAlignment="1">
      <alignment horizontal="right" vertical="center" wrapText="1"/>
    </xf>
    <xf numFmtId="175" fontId="18" fillId="0" borderId="15" xfId="9" applyNumberFormat="1" applyFont="1" applyBorder="1" applyAlignment="1">
      <alignment horizontal="right" vertical="center" wrapText="1"/>
    </xf>
    <xf numFmtId="0" fontId="84" fillId="53" borderId="8" xfId="9" applyFont="1" applyFill="1" applyBorder="1" applyAlignment="1">
      <alignment horizontal="center" vertical="center" wrapText="1"/>
    </xf>
    <xf numFmtId="0" fontId="84" fillId="53" borderId="5" xfId="9" applyFont="1" applyFill="1" applyBorder="1" applyAlignment="1">
      <alignment horizontal="center" vertical="center" wrapText="1"/>
    </xf>
    <xf numFmtId="0" fontId="84" fillId="53" borderId="18" xfId="9" applyFont="1" applyFill="1" applyBorder="1" applyAlignment="1">
      <alignment horizontal="center" vertical="center" wrapText="1"/>
    </xf>
    <xf numFmtId="175" fontId="17" fillId="4" borderId="9" xfId="9" applyNumberFormat="1" applyFont="1" applyFill="1" applyBorder="1" applyAlignment="1">
      <alignment horizontal="right" vertical="center"/>
    </xf>
    <xf numFmtId="175" fontId="17" fillId="4" borderId="22" xfId="9" applyNumberFormat="1" applyFont="1" applyFill="1" applyBorder="1" applyAlignment="1">
      <alignment horizontal="right" vertical="center"/>
    </xf>
    <xf numFmtId="175" fontId="18" fillId="0" borderId="9" xfId="9" applyNumberFormat="1" applyFont="1" applyBorder="1" applyAlignment="1">
      <alignment horizontal="right" vertical="center" wrapText="1"/>
    </xf>
    <xf numFmtId="175" fontId="18" fillId="0" borderId="22" xfId="9" applyNumberFormat="1" applyFont="1" applyBorder="1" applyAlignment="1">
      <alignment horizontal="right" vertical="center" wrapText="1"/>
    </xf>
    <xf numFmtId="175" fontId="18" fillId="54" borderId="9" xfId="9" applyNumberFormat="1" applyFont="1" applyFill="1" applyBorder="1" applyAlignment="1">
      <alignment horizontal="right" vertical="center" wrapText="1"/>
    </xf>
    <xf numFmtId="175" fontId="18" fillId="54" borderId="6" xfId="9" applyNumberFormat="1" applyFont="1" applyFill="1" applyBorder="1" applyAlignment="1">
      <alignment horizontal="right" vertical="center" wrapText="1"/>
    </xf>
    <xf numFmtId="175" fontId="18" fillId="54" borderId="22" xfId="9" applyNumberFormat="1" applyFont="1" applyFill="1" applyBorder="1" applyAlignment="1">
      <alignment horizontal="right" vertical="center" wrapText="1"/>
    </xf>
    <xf numFmtId="175" fontId="18" fillId="54" borderId="10" xfId="9" applyNumberFormat="1" applyFont="1" applyFill="1" applyBorder="1" applyAlignment="1">
      <alignment horizontal="right" vertical="center" wrapText="1"/>
    </xf>
    <xf numFmtId="175" fontId="18" fillId="54" borderId="7" xfId="9" applyNumberFormat="1" applyFont="1" applyFill="1" applyBorder="1" applyAlignment="1">
      <alignment horizontal="right" vertical="center" wrapText="1"/>
    </xf>
    <xf numFmtId="175" fontId="18" fillId="54" borderId="31" xfId="9" applyNumberFormat="1" applyFont="1" applyFill="1" applyBorder="1" applyAlignment="1">
      <alignment horizontal="right" vertical="center" wrapText="1"/>
    </xf>
    <xf numFmtId="171" fontId="0" fillId="26" borderId="1" xfId="1" applyNumberFormat="1" applyFont="1" applyFill="1" applyBorder="1" applyProtection="1"/>
    <xf numFmtId="206" fontId="18" fillId="34" borderId="6" xfId="18" applyNumberFormat="1" applyFont="1" applyFill="1" applyBorder="1" applyAlignment="1">
      <alignment horizontal="right" vertical="center" wrapText="1"/>
    </xf>
    <xf numFmtId="206" fontId="18" fillId="34" borderId="15" xfId="18" applyNumberFormat="1" applyFont="1" applyFill="1" applyBorder="1" applyAlignment="1">
      <alignment horizontal="right" vertical="center" wrapText="1"/>
    </xf>
    <xf numFmtId="206" fontId="18" fillId="0" borderId="6" xfId="9" applyNumberFormat="1" applyFont="1" applyBorder="1" applyAlignment="1">
      <alignment horizontal="right" vertical="center" wrapText="1"/>
    </xf>
    <xf numFmtId="206" fontId="18" fillId="0" borderId="15" xfId="9" applyNumberFormat="1" applyFont="1" applyBorder="1" applyAlignment="1">
      <alignment horizontal="right" vertical="center" wrapText="1"/>
    </xf>
    <xf numFmtId="206" fontId="18" fillId="34" borderId="21" xfId="18" applyNumberFormat="1" applyFont="1" applyFill="1" applyBorder="1" applyAlignment="1">
      <alignment horizontal="right" vertical="center" wrapText="1"/>
    </xf>
    <xf numFmtId="206" fontId="18" fillId="34" borderId="24" xfId="18" applyNumberFormat="1" applyFont="1" applyFill="1" applyBorder="1" applyAlignment="1">
      <alignment horizontal="right" vertical="center" wrapText="1"/>
    </xf>
    <xf numFmtId="206" fontId="17" fillId="4" borderId="6" xfId="9" applyNumberFormat="1" applyFont="1" applyFill="1" applyBorder="1" applyAlignment="1">
      <alignment horizontal="right" vertical="center"/>
    </xf>
    <xf numFmtId="206" fontId="17" fillId="4" borderId="15" xfId="9" applyNumberFormat="1" applyFont="1" applyFill="1" applyBorder="1" applyAlignment="1">
      <alignment horizontal="right" vertical="center"/>
    </xf>
    <xf numFmtId="176" fontId="18" fillId="54" borderId="9" xfId="9" applyNumberFormat="1" applyFont="1" applyFill="1" applyBorder="1" applyAlignment="1">
      <alignment horizontal="right" vertical="center" wrapText="1"/>
    </xf>
    <xf numFmtId="0" fontId="0" fillId="39" borderId="1" xfId="0" applyFill="1" applyBorder="1" applyAlignment="1" applyProtection="1">
      <alignment horizontal="center"/>
      <protection locked="0"/>
    </xf>
    <xf numFmtId="17" fontId="0" fillId="39" borderId="1" xfId="0" applyNumberFormat="1" applyFill="1" applyBorder="1" applyAlignment="1" applyProtection="1">
      <alignment horizontal="center"/>
      <protection locked="0"/>
    </xf>
    <xf numFmtId="10" fontId="4" fillId="39" borderId="1" xfId="0" applyNumberFormat="1" applyFont="1" applyFill="1" applyBorder="1" applyAlignment="1" applyProtection="1">
      <alignment horizontal="right" vertical="center"/>
      <protection locked="0"/>
    </xf>
    <xf numFmtId="9" fontId="55" fillId="50" borderId="1" xfId="3" applyFill="1" applyBorder="1" applyProtection="1">
      <protection locked="0"/>
    </xf>
    <xf numFmtId="17" fontId="0" fillId="0" borderId="0" xfId="0" applyNumberFormat="1" applyProtection="1">
      <protection locked="0"/>
    </xf>
    <xf numFmtId="183" fontId="0" fillId="0" borderId="0" xfId="0" applyNumberFormat="1" applyProtection="1">
      <protection locked="0"/>
    </xf>
    <xf numFmtId="203" fontId="83" fillId="0" borderId="0" xfId="19" applyNumberFormat="1" applyFont="1" applyAlignment="1" applyProtection="1">
      <alignment horizontal="right"/>
      <protection locked="0"/>
    </xf>
    <xf numFmtId="164" fontId="0" fillId="0" borderId="0" xfId="17" applyFont="1" applyProtection="1">
      <protection locked="0"/>
    </xf>
    <xf numFmtId="164" fontId="11" fillId="0" borderId="0" xfId="17" applyFont="1" applyProtection="1">
      <protection locked="0"/>
    </xf>
    <xf numFmtId="202" fontId="0" fillId="0" borderId="0" xfId="0" applyNumberFormat="1" applyProtection="1">
      <protection locked="0"/>
    </xf>
    <xf numFmtId="202" fontId="0" fillId="0" borderId="0" xfId="0" applyNumberFormat="1" applyAlignment="1" applyProtection="1">
      <alignment horizontal="center" vertical="center" wrapText="1"/>
      <protection locked="0"/>
    </xf>
    <xf numFmtId="0" fontId="5" fillId="31" borderId="0" xfId="0" applyFont="1" applyFill="1" applyAlignment="1">
      <alignment horizontal="center" vertical="center" wrapText="1"/>
    </xf>
    <xf numFmtId="0" fontId="5" fillId="31" borderId="1" xfId="0" applyFont="1" applyFill="1" applyBorder="1" applyAlignment="1">
      <alignment horizontal="center" vertical="center" wrapText="1"/>
    </xf>
    <xf numFmtId="207" fontId="5" fillId="43" borderId="1" xfId="0" applyNumberFormat="1" applyFont="1" applyFill="1" applyBorder="1" applyAlignment="1">
      <alignment horizontal="center" vertical="center" wrapText="1"/>
    </xf>
    <xf numFmtId="173" fontId="5" fillId="43" borderId="1" xfId="18" applyNumberFormat="1" applyFont="1" applyFill="1" applyBorder="1" applyAlignment="1">
      <alignment horizontal="center" vertical="center" wrapText="1"/>
    </xf>
    <xf numFmtId="170" fontId="85" fillId="34" borderId="6" xfId="5" applyNumberFormat="1" applyFont="1" applyFill="1" applyBorder="1" applyAlignment="1" applyProtection="1">
      <alignment horizontal="right" vertical="center"/>
    </xf>
    <xf numFmtId="170" fontId="18" fillId="55" borderId="6" xfId="5" applyNumberFormat="1" applyFont="1" applyFill="1" applyBorder="1" applyAlignment="1" applyProtection="1">
      <alignment horizontal="right" vertical="center"/>
    </xf>
    <xf numFmtId="2" fontId="15" fillId="0" borderId="0" xfId="0" applyNumberFormat="1" applyFont="1"/>
    <xf numFmtId="208" fontId="5" fillId="43" borderId="1" xfId="0" applyNumberFormat="1" applyFont="1" applyFill="1" applyBorder="1" applyAlignment="1">
      <alignment horizontal="center" vertical="center" wrapText="1"/>
    </xf>
    <xf numFmtId="170" fontId="18" fillId="56" borderId="16" xfId="5" applyNumberFormat="1" applyFont="1" applyFill="1" applyBorder="1" applyAlignment="1" applyProtection="1">
      <alignment horizontal="right" vertical="center"/>
    </xf>
    <xf numFmtId="170" fontId="18" fillId="57" borderId="6" xfId="5" applyNumberFormat="1" applyFont="1" applyFill="1" applyBorder="1" applyAlignment="1" applyProtection="1">
      <alignment horizontal="right" vertical="center"/>
    </xf>
    <xf numFmtId="209" fontId="5" fillId="31" borderId="1" xfId="0" applyNumberFormat="1" applyFont="1" applyFill="1" applyBorder="1" applyAlignment="1">
      <alignment horizontal="center" vertical="center" wrapText="1"/>
    </xf>
    <xf numFmtId="9" fontId="55" fillId="0" borderId="1" xfId="3" applyBorder="1"/>
    <xf numFmtId="0" fontId="86" fillId="0" borderId="0" xfId="0" applyFont="1"/>
    <xf numFmtId="176" fontId="88" fillId="34" borderId="6" xfId="9" applyNumberFormat="1" applyFont="1" applyFill="1" applyBorder="1" applyAlignment="1">
      <alignment horizontal="right" vertical="center" wrapText="1"/>
    </xf>
    <xf numFmtId="176" fontId="18" fillId="58" borderId="6" xfId="9" applyNumberFormat="1" applyFont="1" applyFill="1" applyBorder="1" applyAlignment="1">
      <alignment horizontal="right" vertical="center" wrapText="1"/>
    </xf>
    <xf numFmtId="43" fontId="18" fillId="58" borderId="6" xfId="1" applyNumberFormat="1" applyFont="1" applyFill="1" applyBorder="1" applyAlignment="1" applyProtection="1">
      <alignment horizontal="right" vertical="center" wrapText="1"/>
    </xf>
    <xf numFmtId="0" fontId="9" fillId="40" borderId="0" xfId="0" applyFont="1" applyFill="1" applyAlignment="1">
      <alignment horizontal="center" vertical="center" wrapText="1"/>
    </xf>
    <xf numFmtId="3" fontId="9" fillId="4" borderId="0" xfId="0" applyNumberFormat="1" applyFont="1" applyFill="1" applyAlignment="1">
      <alignment horizontal="center"/>
    </xf>
    <xf numFmtId="0" fontId="0" fillId="4" borderId="0" xfId="0" applyFill="1" applyAlignment="1">
      <alignment horizontal="center"/>
    </xf>
    <xf numFmtId="0" fontId="9" fillId="7" borderId="0" xfId="0" applyFont="1" applyFill="1" applyAlignment="1">
      <alignment horizontal="center" vertical="center" wrapText="1"/>
    </xf>
    <xf numFmtId="0" fontId="54" fillId="7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10" fontId="1" fillId="5" borderId="4" xfId="3" applyNumberFormat="1" applyFont="1" applyFill="1" applyBorder="1" applyAlignment="1" applyProtection="1">
      <alignment horizontal="center" vertical="center"/>
    </xf>
    <xf numFmtId="167" fontId="5" fillId="5" borderId="7" xfId="8" applyFont="1" applyFill="1" applyBorder="1" applyAlignment="1">
      <alignment horizontal="center" vertical="center"/>
    </xf>
    <xf numFmtId="167" fontId="1" fillId="3" borderId="52" xfId="8" applyFont="1" applyFill="1" applyBorder="1" applyAlignment="1">
      <alignment horizontal="center" vertical="center"/>
    </xf>
    <xf numFmtId="167" fontId="1" fillId="3" borderId="5" xfId="8" applyFont="1" applyFill="1" applyBorder="1" applyAlignment="1">
      <alignment horizontal="center" vertical="center"/>
    </xf>
    <xf numFmtId="167" fontId="75" fillId="51" borderId="5" xfId="8" applyFont="1" applyFill="1" applyBorder="1" applyAlignment="1">
      <alignment horizontal="center" vertical="center"/>
    </xf>
    <xf numFmtId="167" fontId="13" fillId="33" borderId="11" xfId="8" applyFont="1" applyFill="1" applyBorder="1" applyAlignment="1">
      <alignment horizontal="center" vertical="center" wrapText="1"/>
    </xf>
    <xf numFmtId="167" fontId="13" fillId="33" borderId="49" xfId="8" applyFont="1" applyFill="1" applyBorder="1" applyAlignment="1">
      <alignment horizontal="center" vertical="center" wrapText="1"/>
    </xf>
    <xf numFmtId="167" fontId="5" fillId="4" borderId="2" xfId="8" applyFont="1" applyFill="1" applyBorder="1" applyAlignment="1">
      <alignment horizontal="center" vertical="center"/>
    </xf>
    <xf numFmtId="167" fontId="5" fillId="4" borderId="2" xfId="8" applyFont="1" applyFill="1" applyBorder="1" applyAlignment="1">
      <alignment horizontal="center" vertical="center" wrapText="1"/>
    </xf>
    <xf numFmtId="167" fontId="9" fillId="4" borderId="11" xfId="8" applyFont="1" applyFill="1" applyBorder="1" applyAlignment="1">
      <alignment horizontal="center" vertical="center" wrapText="1"/>
    </xf>
    <xf numFmtId="167" fontId="5" fillId="5" borderId="5" xfId="8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167" fontId="74" fillId="3" borderId="7" xfId="8" applyFont="1" applyFill="1" applyBorder="1" applyAlignment="1">
      <alignment horizontal="center" vertical="center"/>
    </xf>
    <xf numFmtId="167" fontId="5" fillId="5" borderId="7" xfId="8" applyFont="1" applyFill="1" applyBorder="1" applyAlignment="1">
      <alignment horizontal="center" vertical="center" wrapText="1"/>
    </xf>
    <xf numFmtId="167" fontId="75" fillId="49" borderId="52" xfId="8" applyFont="1" applyFill="1" applyBorder="1" applyAlignment="1">
      <alignment horizontal="center" vertical="center"/>
    </xf>
    <xf numFmtId="167" fontId="75" fillId="49" borderId="5" xfId="8" applyFont="1" applyFill="1" applyBorder="1" applyAlignment="1">
      <alignment horizontal="center" vertical="center"/>
    </xf>
    <xf numFmtId="167" fontId="9" fillId="4" borderId="2" xfId="8" applyFont="1" applyFill="1" applyBorder="1" applyAlignment="1">
      <alignment horizontal="center" vertical="center" wrapText="1"/>
    </xf>
    <xf numFmtId="167" fontId="9" fillId="4" borderId="2" xfId="8" applyFont="1" applyFill="1" applyBorder="1" applyAlignment="1">
      <alignment horizontal="center" vertical="center"/>
    </xf>
    <xf numFmtId="10" fontId="1" fillId="5" borderId="4" xfId="3" applyNumberFormat="1" applyFont="1" applyFill="1" applyBorder="1" applyAlignment="1" applyProtection="1">
      <alignment horizontal="center" vertical="center" wrapText="1"/>
    </xf>
    <xf numFmtId="167" fontId="5" fillId="3" borderId="7" xfId="8" applyFont="1" applyFill="1" applyBorder="1" applyAlignment="1">
      <alignment horizontal="center" vertical="center"/>
    </xf>
    <xf numFmtId="167" fontId="5" fillId="4" borderId="8" xfId="8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10" fontId="11" fillId="5" borderId="4" xfId="3" applyNumberFormat="1" applyFont="1" applyFill="1" applyBorder="1" applyAlignment="1" applyProtection="1">
      <alignment horizontal="center" vertical="center" wrapText="1"/>
    </xf>
    <xf numFmtId="167" fontId="5" fillId="4" borderId="9" xfId="8" applyFont="1" applyFill="1" applyBorder="1" applyAlignment="1">
      <alignment horizontal="center" vertical="center"/>
    </xf>
    <xf numFmtId="167" fontId="5" fillId="4" borderId="10" xfId="8" applyFont="1" applyFill="1" applyBorder="1" applyAlignment="1">
      <alignment horizontal="center" vertical="center"/>
    </xf>
    <xf numFmtId="167" fontId="5" fillId="5" borderId="5" xfId="8" applyFont="1" applyFill="1" applyBorder="1" applyAlignment="1">
      <alignment horizontal="center" vertical="center" wrapText="1"/>
    </xf>
    <xf numFmtId="0" fontId="5" fillId="31" borderId="0" xfId="0" applyFont="1" applyFill="1" applyAlignment="1">
      <alignment horizontal="center" vertical="center" wrapText="1"/>
    </xf>
    <xf numFmtId="0" fontId="57" fillId="23" borderId="76" xfId="0" applyFont="1" applyFill="1" applyBorder="1" applyAlignment="1">
      <alignment horizontal="right" vertical="center" wrapText="1"/>
    </xf>
    <xf numFmtId="0" fontId="57" fillId="23" borderId="78" xfId="0" applyFont="1" applyFill="1" applyBorder="1" applyAlignment="1">
      <alignment horizontal="right" vertical="center" wrapText="1"/>
    </xf>
    <xf numFmtId="0" fontId="57" fillId="23" borderId="77" xfId="0" applyFont="1" applyFill="1" applyBorder="1" applyAlignment="1">
      <alignment horizontal="right" vertical="center" wrapText="1"/>
    </xf>
    <xf numFmtId="0" fontId="57" fillId="23" borderId="70" xfId="0" applyFont="1" applyFill="1" applyBorder="1" applyAlignment="1">
      <alignment horizontal="right" vertical="center" wrapText="1"/>
    </xf>
    <xf numFmtId="180" fontId="4" fillId="5" borderId="0" xfId="1" applyNumberFormat="1" applyFont="1" applyFill="1" applyBorder="1" applyAlignment="1" applyProtection="1">
      <alignment horizontal="center"/>
    </xf>
    <xf numFmtId="180" fontId="4" fillId="4" borderId="0" xfId="1" applyNumberFormat="1" applyFont="1" applyFill="1" applyBorder="1" applyAlignment="1" applyProtection="1">
      <alignment horizontal="center"/>
    </xf>
    <xf numFmtId="0" fontId="0" fillId="5" borderId="6" xfId="0" applyFill="1" applyBorder="1" applyAlignment="1" applyProtection="1">
      <alignment horizontal="center"/>
      <protection locked="0"/>
    </xf>
    <xf numFmtId="0" fontId="0" fillId="5" borderId="6" xfId="0" applyFill="1" applyBorder="1" applyAlignment="1" applyProtection="1">
      <alignment horizontal="center" vertical="center" wrapText="1"/>
      <protection locked="0"/>
    </xf>
    <xf numFmtId="0" fontId="4" fillId="4" borderId="6" xfId="0" applyFont="1" applyFill="1" applyBorder="1" applyAlignment="1">
      <alignment horizontal="center"/>
    </xf>
    <xf numFmtId="0" fontId="54" fillId="20" borderId="68" xfId="0" applyFont="1" applyFill="1" applyBorder="1" applyAlignment="1">
      <alignment horizontal="center" wrapText="1"/>
    </xf>
    <xf numFmtId="0" fontId="4" fillId="20" borderId="69" xfId="0" applyFont="1" applyFill="1" applyBorder="1" applyAlignment="1">
      <alignment horizontal="center"/>
    </xf>
    <xf numFmtId="0" fontId="54" fillId="20" borderId="68" xfId="0" applyFont="1" applyFill="1" applyBorder="1" applyAlignment="1">
      <alignment horizontal="center" vertical="center" wrapText="1"/>
    </xf>
    <xf numFmtId="167" fontId="5" fillId="11" borderId="0" xfId="7" applyFont="1" applyFill="1" applyAlignment="1">
      <alignment horizontal="center" vertical="center" wrapText="1"/>
    </xf>
    <xf numFmtId="167" fontId="5" fillId="11" borderId="0" xfId="7" applyFont="1" applyFill="1" applyAlignment="1">
      <alignment horizontal="left" vertical="center" wrapText="1"/>
    </xf>
    <xf numFmtId="167" fontId="5" fillId="11" borderId="0" xfId="7" applyFont="1" applyFill="1" applyAlignment="1">
      <alignment horizontal="left"/>
    </xf>
    <xf numFmtId="167" fontId="9" fillId="0" borderId="0" xfId="7" applyFont="1" applyAlignment="1">
      <alignment horizontal="center" vertical="center" wrapText="1"/>
    </xf>
    <xf numFmtId="167" fontId="25" fillId="0" borderId="0" xfId="7" applyFont="1" applyAlignment="1">
      <alignment horizontal="left" vertical="center" wrapText="1"/>
    </xf>
    <xf numFmtId="167" fontId="42" fillId="11" borderId="0" xfId="7" applyFont="1" applyFill="1" applyAlignment="1">
      <alignment horizontal="left" vertical="center" wrapText="1"/>
    </xf>
    <xf numFmtId="0" fontId="25" fillId="0" borderId="0" xfId="0" applyFont="1" applyAlignment="1">
      <alignment horizontal="center" wrapText="1"/>
    </xf>
    <xf numFmtId="0" fontId="25" fillId="13" borderId="9" xfId="0" applyFont="1" applyFill="1" applyBorder="1" applyAlignment="1">
      <alignment horizontal="center" vertical="center"/>
    </xf>
    <xf numFmtId="0" fontId="29" fillId="13" borderId="6" xfId="0" applyFont="1" applyFill="1" applyBorder="1" applyAlignment="1">
      <alignment horizontal="center"/>
    </xf>
    <xf numFmtId="167" fontId="5" fillId="0" borderId="0" xfId="7" applyFont="1" applyAlignment="1">
      <alignment horizontal="left" vertical="center" wrapText="1"/>
    </xf>
    <xf numFmtId="0" fontId="30" fillId="11" borderId="45" xfId="0" applyFont="1" applyFill="1" applyBorder="1" applyAlignment="1">
      <alignment horizontal="center" wrapText="1"/>
    </xf>
    <xf numFmtId="0" fontId="27" fillId="15" borderId="49" xfId="0" applyFont="1" applyFill="1" applyBorder="1" applyAlignment="1">
      <alignment horizontal="center" wrapText="1"/>
    </xf>
    <xf numFmtId="0" fontId="25" fillId="13" borderId="8" xfId="0" applyFont="1" applyFill="1" applyBorder="1" applyAlignment="1">
      <alignment horizontal="center" vertical="center"/>
    </xf>
    <xf numFmtId="0" fontId="26" fillId="13" borderId="50" xfId="0" applyFont="1" applyFill="1" applyBorder="1" applyAlignment="1">
      <alignment horizontal="center" wrapText="1"/>
    </xf>
    <xf numFmtId="0" fontId="26" fillId="0" borderId="0" xfId="0" applyFont="1" applyAlignment="1">
      <alignment horizontal="center" wrapText="1"/>
    </xf>
    <xf numFmtId="0" fontId="25" fillId="13" borderId="27" xfId="0" applyFont="1" applyFill="1" applyBorder="1" applyAlignment="1">
      <alignment horizontal="center"/>
    </xf>
    <xf numFmtId="0" fontId="9" fillId="14" borderId="9" xfId="0" applyFont="1" applyFill="1" applyBorder="1" applyAlignment="1">
      <alignment horizontal="center"/>
    </xf>
    <xf numFmtId="0" fontId="0" fillId="11" borderId="15" xfId="0" applyFill="1" applyBorder="1" applyAlignment="1">
      <alignment horizontal="center"/>
    </xf>
    <xf numFmtId="0" fontId="0" fillId="11" borderId="42" xfId="0" applyFill="1" applyBorder="1" applyAlignment="1">
      <alignment horizontal="center"/>
    </xf>
    <xf numFmtId="166" fontId="29" fillId="17" borderId="15" xfId="1" applyFont="1" applyFill="1" applyBorder="1" applyAlignment="1" applyProtection="1">
      <alignment horizontal="center"/>
    </xf>
    <xf numFmtId="0" fontId="23" fillId="11" borderId="8" xfId="0" applyFont="1" applyFill="1" applyBorder="1" applyAlignment="1">
      <alignment horizontal="center" vertical="center" wrapText="1"/>
    </xf>
    <xf numFmtId="0" fontId="24" fillId="13" borderId="5" xfId="0" applyFont="1" applyFill="1" applyBorder="1" applyAlignment="1">
      <alignment horizontal="center" wrapText="1"/>
    </xf>
    <xf numFmtId="0" fontId="25" fillId="13" borderId="21" xfId="0" applyFont="1" applyFill="1" applyBorder="1" applyAlignment="1">
      <alignment horizontal="center"/>
    </xf>
    <xf numFmtId="0" fontId="26" fillId="13" borderId="6" xfId="0" applyFont="1" applyFill="1" applyBorder="1" applyAlignment="1">
      <alignment horizontal="center" vertical="center" textRotation="45" wrapText="1"/>
    </xf>
    <xf numFmtId="0" fontId="25" fillId="13" borderId="9" xfId="0" applyFont="1" applyFill="1" applyBorder="1" applyAlignment="1">
      <alignment horizontal="center" textRotation="45"/>
    </xf>
    <xf numFmtId="0" fontId="9" fillId="15" borderId="26" xfId="0" applyFont="1" applyFill="1" applyBorder="1" applyAlignment="1">
      <alignment horizontal="center"/>
    </xf>
    <xf numFmtId="0" fontId="29" fillId="13" borderId="52" xfId="0" applyFont="1" applyFill="1" applyBorder="1" applyAlignment="1">
      <alignment horizontal="center"/>
    </xf>
    <xf numFmtId="0" fontId="29" fillId="13" borderId="22" xfId="0" applyFont="1" applyFill="1" applyBorder="1" applyAlignment="1">
      <alignment horizontal="center"/>
    </xf>
    <xf numFmtId="0" fontId="35" fillId="14" borderId="9" xfId="0" applyFont="1" applyFill="1" applyBorder="1" applyAlignment="1">
      <alignment horizontal="left"/>
    </xf>
    <xf numFmtId="0" fontId="0" fillId="11" borderId="60" xfId="0" applyFill="1" applyBorder="1" applyAlignment="1">
      <alignment horizontal="left"/>
    </xf>
    <xf numFmtId="0" fontId="31" fillId="15" borderId="49" xfId="0" applyFont="1" applyFill="1" applyBorder="1" applyAlignment="1">
      <alignment horizontal="center" vertical="center" wrapText="1"/>
    </xf>
    <xf numFmtId="0" fontId="5" fillId="14" borderId="27" xfId="0" applyFont="1" applyFill="1" applyBorder="1" applyAlignment="1">
      <alignment horizontal="center"/>
    </xf>
    <xf numFmtId="0" fontId="0" fillId="11" borderId="6" xfId="0" applyFill="1" applyBorder="1" applyAlignment="1">
      <alignment horizontal="center"/>
    </xf>
    <xf numFmtId="0" fontId="0" fillId="11" borderId="31" xfId="0" applyFill="1" applyBorder="1" applyAlignment="1">
      <alignment horizontal="center"/>
    </xf>
    <xf numFmtId="3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35" fillId="18" borderId="6" xfId="0" applyFont="1" applyFill="1" applyBorder="1" applyAlignment="1">
      <alignment horizontal="left"/>
    </xf>
    <xf numFmtId="0" fontId="0" fillId="11" borderId="16" xfId="0" applyFill="1" applyBorder="1" applyAlignment="1">
      <alignment horizontal="left"/>
    </xf>
    <xf numFmtId="0" fontId="36" fillId="0" borderId="0" xfId="0" applyFont="1" applyAlignment="1">
      <alignment horizontal="center" wrapText="1"/>
    </xf>
    <xf numFmtId="3" fontId="25" fillId="13" borderId="9" xfId="0" applyNumberFormat="1" applyFont="1" applyFill="1" applyBorder="1" applyAlignment="1">
      <alignment horizontal="center" vertical="center"/>
    </xf>
    <xf numFmtId="0" fontId="29" fillId="13" borderId="5" xfId="0" applyFont="1" applyFill="1" applyBorder="1" applyAlignment="1">
      <alignment horizontal="center"/>
    </xf>
    <xf numFmtId="0" fontId="33" fillId="15" borderId="26" xfId="0" applyFont="1" applyFill="1" applyBorder="1" applyAlignment="1">
      <alignment horizontal="center"/>
    </xf>
    <xf numFmtId="0" fontId="26" fillId="13" borderId="9" xfId="0" applyFont="1" applyFill="1" applyBorder="1" applyAlignment="1">
      <alignment horizontal="center" wrapText="1"/>
    </xf>
    <xf numFmtId="0" fontId="25" fillId="0" borderId="32" xfId="0" applyFont="1" applyBorder="1" applyAlignment="1">
      <alignment horizontal="center" wrapText="1"/>
    </xf>
    <xf numFmtId="0" fontId="5" fillId="14" borderId="9" xfId="0" applyFont="1" applyFill="1" applyBorder="1" applyAlignment="1">
      <alignment horizontal="center"/>
    </xf>
    <xf numFmtId="0" fontId="48" fillId="0" borderId="33" xfId="0" applyFont="1" applyBorder="1" applyAlignment="1">
      <alignment horizontal="right"/>
    </xf>
    <xf numFmtId="189" fontId="48" fillId="3" borderId="26" xfId="3" applyNumberFormat="1" applyFont="1" applyFill="1" applyBorder="1" applyAlignment="1" applyProtection="1">
      <alignment horizontal="center" vertical="center" wrapText="1"/>
    </xf>
    <xf numFmtId="0" fontId="47" fillId="4" borderId="6" xfId="0" applyFont="1" applyFill="1" applyBorder="1" applyAlignment="1">
      <alignment horizontal="left" vertical="center"/>
    </xf>
    <xf numFmtId="0" fontId="47" fillId="4" borderId="67" xfId="0" applyFont="1" applyFill="1" applyBorder="1" applyAlignment="1">
      <alignment horizontal="left" vertical="center" wrapText="1"/>
    </xf>
    <xf numFmtId="9" fontId="47" fillId="4" borderId="6" xfId="3" applyFont="1" applyFill="1" applyBorder="1" applyAlignment="1" applyProtection="1">
      <alignment horizontal="center" vertical="center" textRotation="90"/>
    </xf>
    <xf numFmtId="0" fontId="48" fillId="4" borderId="59" xfId="0" applyFont="1" applyFill="1" applyBorder="1" applyAlignment="1">
      <alignment horizontal="left" vertical="center"/>
    </xf>
    <xf numFmtId="0" fontId="47" fillId="5" borderId="60" xfId="0" applyFont="1" applyFill="1" applyBorder="1" applyAlignment="1">
      <alignment horizontal="left" vertical="center" wrapText="1"/>
    </xf>
    <xf numFmtId="3" fontId="8" fillId="2" borderId="6" xfId="0" applyNumberFormat="1" applyFont="1" applyFill="1" applyBorder="1" applyAlignment="1" applyProtection="1">
      <alignment horizontal="center" vertical="center"/>
      <protection locked="0"/>
    </xf>
    <xf numFmtId="0" fontId="47" fillId="4" borderId="52" xfId="0" applyFont="1" applyFill="1" applyBorder="1" applyAlignment="1">
      <alignment horizontal="left" vertical="center" wrapText="1"/>
    </xf>
    <xf numFmtId="0" fontId="51" fillId="4" borderId="6" xfId="0" applyFont="1" applyFill="1" applyBorder="1" applyAlignment="1">
      <alignment horizontal="left" vertical="center"/>
    </xf>
    <xf numFmtId="0" fontId="51" fillId="4" borderId="52" xfId="0" applyFont="1" applyFill="1" applyBorder="1" applyAlignment="1">
      <alignment horizontal="left" vertical="center"/>
    </xf>
    <xf numFmtId="0" fontId="51" fillId="4" borderId="6" xfId="0" applyFont="1" applyFill="1" applyBorder="1" applyAlignment="1">
      <alignment horizontal="left" vertical="center" wrapText="1"/>
    </xf>
    <xf numFmtId="189" fontId="48" fillId="3" borderId="59" xfId="3" applyNumberFormat="1" applyFont="1" applyFill="1" applyBorder="1" applyAlignment="1" applyProtection="1">
      <alignment horizontal="center" vertical="center" wrapText="1"/>
    </xf>
    <xf numFmtId="0" fontId="48" fillId="0" borderId="0" xfId="0" applyFont="1" applyAlignment="1">
      <alignment horizontal="center"/>
    </xf>
    <xf numFmtId="0" fontId="47" fillId="0" borderId="0" xfId="0" applyFont="1" applyAlignment="1">
      <alignment horizontal="left" vertical="center" wrapText="1"/>
    </xf>
    <xf numFmtId="0" fontId="50" fillId="0" borderId="0" xfId="0" applyFont="1" applyAlignment="1">
      <alignment horizontal="left" vertical="center" wrapText="1"/>
    </xf>
    <xf numFmtId="189" fontId="53" fillId="3" borderId="26" xfId="3" applyNumberFormat="1" applyFont="1" applyFill="1" applyBorder="1" applyAlignment="1" applyProtection="1">
      <alignment horizontal="center" vertical="center" wrapText="1"/>
    </xf>
    <xf numFmtId="0" fontId="47" fillId="4" borderId="7" xfId="0" applyFont="1" applyFill="1" applyBorder="1" applyAlignment="1">
      <alignment horizontal="left" vertical="center" wrapText="1"/>
    </xf>
    <xf numFmtId="0" fontId="49" fillId="2" borderId="22" xfId="0" applyFont="1" applyFill="1" applyBorder="1" applyAlignment="1" applyProtection="1">
      <alignment horizontal="center" vertical="center"/>
      <protection locked="0"/>
    </xf>
    <xf numFmtId="0" fontId="47" fillId="4" borderId="6" xfId="0" applyFont="1" applyFill="1" applyBorder="1" applyAlignment="1">
      <alignment horizontal="left" vertical="center" wrapText="1"/>
    </xf>
    <xf numFmtId="0" fontId="52" fillId="0" borderId="0" xfId="0" applyFont="1" applyAlignment="1">
      <alignment horizontal="left" vertical="center" wrapText="1"/>
    </xf>
    <xf numFmtId="0" fontId="47" fillId="0" borderId="0" xfId="0" applyFont="1" applyAlignment="1">
      <alignment horizontal="center" vertical="center" wrapText="1"/>
    </xf>
    <xf numFmtId="0" fontId="52" fillId="0" borderId="0" xfId="0" applyFont="1" applyAlignment="1">
      <alignment horizontal="center" vertical="center" wrapText="1"/>
    </xf>
    <xf numFmtId="166" fontId="8" fillId="57" borderId="0" xfId="1" applyFont="1" applyFill="1" applyBorder="1" applyAlignment="1" applyProtection="1">
      <alignment horizontal="center"/>
    </xf>
    <xf numFmtId="166" fontId="6" fillId="57" borderId="0" xfId="1" applyFont="1" applyFill="1" applyBorder="1" applyAlignment="1" applyProtection="1">
      <alignment horizontal="center" vertical="center"/>
    </xf>
  </cellXfs>
  <cellStyles count="20">
    <cellStyle name="Comma" xfId="12" xr:uid="{00000000-0005-0000-0000-000000000000}"/>
    <cellStyle name="Currency" xfId="15" xr:uid="{00000000-0005-0000-0000-000001000000}"/>
    <cellStyle name="Hipervínculo" xfId="16" builtinId="8"/>
    <cellStyle name="Millares" xfId="1" builtinId="3"/>
    <cellStyle name="Millares [0]" xfId="18" builtinId="6"/>
    <cellStyle name="Millares 2" xfId="4" xr:uid="{00000000-0005-0000-0000-000004000000}"/>
    <cellStyle name="Millares 4" xfId="5" xr:uid="{00000000-0005-0000-0000-000005000000}"/>
    <cellStyle name="Millares 4 2" xfId="6" xr:uid="{00000000-0005-0000-0000-000006000000}"/>
    <cellStyle name="Millares 8" xfId="13" xr:uid="{00000000-0005-0000-0000-000007000000}"/>
    <cellStyle name="Moneda" xfId="2" builtinId="4"/>
    <cellStyle name="Moneda [0]" xfId="17" builtinId="7"/>
    <cellStyle name="Normal" xfId="0" builtinId="0"/>
    <cellStyle name="Normal 2" xfId="19" xr:uid="{CFDDB48B-C106-4689-994E-D5B16A61EA3A}"/>
    <cellStyle name="Normal 2 2 2 2 2 4" xfId="14" xr:uid="{00000000-0005-0000-0000-00000A000000}"/>
    <cellStyle name="Normal 3" xfId="7" xr:uid="{00000000-0005-0000-0000-00000B000000}"/>
    <cellStyle name="Normal 4" xfId="8" xr:uid="{00000000-0005-0000-0000-00000C000000}"/>
    <cellStyle name="Normal 9" xfId="9" xr:uid="{00000000-0005-0000-0000-00000D000000}"/>
    <cellStyle name="Porcentaje" xfId="3" builtinId="5"/>
    <cellStyle name="Porcentaje 2" xfId="10" xr:uid="{00000000-0005-0000-0000-00000F000000}"/>
    <cellStyle name="Porcentual 2 3" xfId="11" xr:uid="{00000000-0005-0000-0000-000010000000}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</dxf>
    <dxf>
      <fill>
        <patternFill patternType="none">
          <fgColor indexed="64"/>
          <bgColor auto="1"/>
        </patternFill>
      </fill>
    </dxf>
    <dxf>
      <numFmt numFmtId="202" formatCode="d/mm/yy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numFmt numFmtId="202" formatCode="d/mm/yy"/>
    </dxf>
    <dxf>
      <numFmt numFmtId="0" formatCode="General"/>
    </dxf>
    <dxf>
      <numFmt numFmtId="183" formatCode="0.0"/>
    </dxf>
    <dxf>
      <numFmt numFmtId="0" formatCode="General"/>
    </dxf>
    <dxf>
      <numFmt numFmtId="183" formatCode="0.0"/>
    </dxf>
    <dxf>
      <numFmt numFmtId="22" formatCode="mmm\-yy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77933C"/>
      <rgbColor rgb="FF800080"/>
      <rgbColor rgb="FF004586"/>
      <rgbColor rgb="FFBFBFBF"/>
      <rgbColor rgb="FF4F81BD"/>
      <rgbColor rgb="FF9999FF"/>
      <rgbColor rgb="FF7030A0"/>
      <rgbColor rgb="FFFDEADA"/>
      <rgbColor rgb="FFDCE6F2"/>
      <rgbColor rgb="FF660066"/>
      <rgbColor rgb="FFFF8080"/>
      <rgbColor rgb="FF0070C0"/>
      <rgbColor rgb="FFC6D9F1"/>
      <rgbColor rgb="FF000080"/>
      <rgbColor rgb="FFFF00FF"/>
      <rgbColor rgb="FFF7DB17"/>
      <rgbColor rgb="FF00FFFF"/>
      <rgbColor rgb="FF800080"/>
      <rgbColor rgb="FF800000"/>
      <rgbColor rgb="FF008080"/>
      <rgbColor rgb="FF0000FF"/>
      <rgbColor rgb="FF00CCFF"/>
      <rgbColor rgb="FFF2F2F2"/>
      <rgbColor rgb="FFD7E4BD"/>
      <rgbColor rgb="FFD9D9D9"/>
      <rgbColor rgb="FF95B3D7"/>
      <rgbColor rgb="FFFF99CC"/>
      <rgbColor rgb="FFB3B3B3"/>
      <rgbColor rgb="FFF2DCDB"/>
      <rgbColor rgb="FF3366FF"/>
      <rgbColor rgb="FF33CCCC"/>
      <rgbColor rgb="FFC3D69B"/>
      <rgbColor rgb="FFFFC000"/>
      <rgbColor rgb="FFFF9900"/>
      <rgbColor rgb="FFFF420E"/>
      <rgbColor rgb="FF595959"/>
      <rgbColor rgb="FFA6A6A6"/>
      <rgbColor rgb="FF002060"/>
      <rgbColor rgb="FF00B050"/>
      <rgbColor rgb="FF004236"/>
      <rgbColor rgb="FF254061"/>
      <rgbColor rgb="FF993300"/>
      <rgbColor rgb="FF993366"/>
      <rgbColor rgb="FF203864"/>
      <rgbColor rgb="FF22222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eetMetadata" Target="metadata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wer"/>
            <c:dispRSqr val="1"/>
            <c:dispEq val="1"/>
            <c:trendlineLbl>
              <c:layout>
                <c:manualLayout>
                  <c:x val="-8.4485647944347944E-3"/>
                  <c:y val="-1.4243219597550306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trendlineLbl>
          </c:trendline>
          <c:xVal>
            <c:numRef>
              <c:f>Regresiones!$B$4:$B$9</c:f>
              <c:numCache>
                <c:formatCode>#,##0.00</c:formatCode>
                <c:ptCount val="6"/>
                <c:pt idx="0">
                  <c:v>149.4</c:v>
                </c:pt>
                <c:pt idx="1">
                  <c:v>298.86893103513597</c:v>
                </c:pt>
                <c:pt idx="2">
                  <c:v>637.88742977097604</c:v>
                </c:pt>
                <c:pt idx="3">
                  <c:v>1112.8963997511401</c:v>
                </c:pt>
                <c:pt idx="4">
                  <c:v>2234.5852082400002</c:v>
                </c:pt>
                <c:pt idx="5">
                  <c:v>2795.91757292786</c:v>
                </c:pt>
              </c:numCache>
            </c:numRef>
          </c:xVal>
          <c:yVal>
            <c:numRef>
              <c:f>Regresiones!$C$4:$C$9</c:f>
              <c:numCache>
                <c:formatCode>[$$-240A]#,##0;[Red]\([$$-240A]#,##0\)</c:formatCode>
                <c:ptCount val="6"/>
                <c:pt idx="0">
                  <c:v>49312039.824400701</c:v>
                </c:pt>
                <c:pt idx="1">
                  <c:v>69745205.497494906</c:v>
                </c:pt>
                <c:pt idx="2">
                  <c:v>101893386.156497</c:v>
                </c:pt>
                <c:pt idx="3">
                  <c:v>134586451.23344699</c:v>
                </c:pt>
                <c:pt idx="4">
                  <c:v>190709546.282213</c:v>
                </c:pt>
                <c:pt idx="5">
                  <c:v>213322249.62710401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4D5-4800-870A-DA5CE7633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8830815"/>
        <c:axId val="758834143"/>
      </c:scatterChart>
      <c:valAx>
        <c:axId val="75883081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/>
                  <a:t>Area (m2)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#,##0.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58834143"/>
        <c:crosses val="autoZero"/>
        <c:crossBetween val="midCat"/>
      </c:valAx>
      <c:valAx>
        <c:axId val="7588341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/>
                  <a:t>$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[$$-240A]#,##0;[Red]\([$$-240A]#,##0\)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5883081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wer"/>
            <c:dispRSqr val="1"/>
            <c:dispEq val="1"/>
            <c:trendlineLbl>
              <c:layout>
                <c:manualLayout>
                  <c:x val="-3.5164041994750657E-3"/>
                  <c:y val="0.1106944444444444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trendlineLbl>
          </c:trendline>
          <c:xVal>
            <c:numRef>
              <c:f>Regresiones!$F$4:$F$8</c:f>
              <c:numCache>
                <c:formatCode>#,##0.00</c:formatCode>
                <c:ptCount val="5"/>
                <c:pt idx="0">
                  <c:v>200000</c:v>
                </c:pt>
                <c:pt idx="1">
                  <c:v>100000</c:v>
                </c:pt>
                <c:pt idx="2">
                  <c:v>50000</c:v>
                </c:pt>
                <c:pt idx="3">
                  <c:v>20000</c:v>
                </c:pt>
                <c:pt idx="4">
                  <c:v>10000</c:v>
                </c:pt>
              </c:numCache>
            </c:numRef>
          </c:xVal>
          <c:yVal>
            <c:numRef>
              <c:f>Regresiones!$G$4:$G$8</c:f>
              <c:numCache>
                <c:formatCode>[$$-240A]#,##0;[Red]\([$$-240A]#,##0\)</c:formatCode>
                <c:ptCount val="5"/>
                <c:pt idx="0">
                  <c:v>145440000</c:v>
                </c:pt>
                <c:pt idx="1">
                  <c:v>133400000</c:v>
                </c:pt>
                <c:pt idx="2">
                  <c:v>114080000</c:v>
                </c:pt>
                <c:pt idx="3">
                  <c:v>76800000</c:v>
                </c:pt>
                <c:pt idx="4">
                  <c:v>71200000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F73-4EA6-89D4-11B645D684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70045791"/>
        <c:axId val="770030399"/>
      </c:scatterChart>
      <c:valAx>
        <c:axId val="77004579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/>
                  <a:t>Capacidad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#,##0.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70030399"/>
        <c:crosses val="autoZero"/>
        <c:crossBetween val="midCat"/>
      </c:valAx>
      <c:valAx>
        <c:axId val="7700303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/>
                  <a:t>$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[$$-240A]#,##0;[Red]\([$$-240A]#,##0\)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7004579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419100</xdr:colOff>
      <xdr:row>8</xdr:row>
      <xdr:rowOff>50800</xdr:rowOff>
    </xdr:from>
    <xdr:to>
      <xdr:col>6</xdr:col>
      <xdr:colOff>463550</xdr:colOff>
      <xdr:row>12</xdr:row>
      <xdr:rowOff>38100</xdr:rowOff>
    </xdr:to>
    <xdr:sp macro="" textlink="">
      <xdr:nvSpPr>
        <xdr:cNvPr id="19458" name="Label1" hidden="1">
          <a:extLst>
            <a:ext uri="{63B3BB69-23CF-44E3-9099-C40C66FF867C}">
              <a14:compatExt xmlns:a14="http://schemas.microsoft.com/office/drawing/2010/main" spid="_x0000_s19458"/>
            </a:ext>
            <a:ext uri="{FF2B5EF4-FFF2-40B4-BE49-F238E27FC236}">
              <a16:creationId xmlns:a16="http://schemas.microsoft.com/office/drawing/2014/main" id="{00000000-0008-0000-0000-0000024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609600</xdr:colOff>
      <xdr:row>12</xdr:row>
      <xdr:rowOff>165100</xdr:rowOff>
    </xdr:from>
    <xdr:to>
      <xdr:col>6</xdr:col>
      <xdr:colOff>679450</xdr:colOff>
      <xdr:row>14</xdr:row>
      <xdr:rowOff>139700</xdr:rowOff>
    </xdr:to>
    <xdr:sp macro="" textlink="">
      <xdr:nvSpPr>
        <xdr:cNvPr id="19459" name="Label2" hidden="1">
          <a:extLst>
            <a:ext uri="{63B3BB69-23CF-44E3-9099-C40C66FF867C}">
              <a14:compatExt xmlns:a14="http://schemas.microsoft.com/office/drawing/2010/main" spid="_x0000_s19459"/>
            </a:ext>
            <a:ext uri="{FF2B5EF4-FFF2-40B4-BE49-F238E27FC236}">
              <a16:creationId xmlns:a16="http://schemas.microsoft.com/office/drawing/2014/main" id="{00000000-0008-0000-0000-0000034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558800</xdr:colOff>
      <xdr:row>15</xdr:row>
      <xdr:rowOff>88900</xdr:rowOff>
    </xdr:from>
    <xdr:to>
      <xdr:col>4</xdr:col>
      <xdr:colOff>158750</xdr:colOff>
      <xdr:row>17</xdr:row>
      <xdr:rowOff>50800</xdr:rowOff>
    </xdr:to>
    <xdr:sp macro="" textlink="">
      <xdr:nvSpPr>
        <xdr:cNvPr id="19460" name="Label3" hidden="1">
          <a:extLst>
            <a:ext uri="{63B3BB69-23CF-44E3-9099-C40C66FF867C}">
              <a14:compatExt xmlns:a14="http://schemas.microsoft.com/office/drawing/2010/main" spid="_x0000_s19460"/>
            </a:ext>
            <a:ext uri="{FF2B5EF4-FFF2-40B4-BE49-F238E27FC236}">
              <a16:creationId xmlns:a16="http://schemas.microsoft.com/office/drawing/2014/main" id="{00000000-0008-0000-0000-0000044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76200</xdr:colOff>
      <xdr:row>2</xdr:row>
      <xdr:rowOff>152400</xdr:rowOff>
    </xdr:from>
    <xdr:to>
      <xdr:col>10</xdr:col>
      <xdr:colOff>647700</xdr:colOff>
      <xdr:row>4</xdr:row>
      <xdr:rowOff>101600</xdr:rowOff>
    </xdr:to>
    <xdr:sp macro="" textlink="">
      <xdr:nvSpPr>
        <xdr:cNvPr id="19461" name="Label4" hidden="1">
          <a:extLst>
            <a:ext uri="{63B3BB69-23CF-44E3-9099-C40C66FF867C}">
              <a14:compatExt xmlns:a14="http://schemas.microsoft.com/office/drawing/2010/main" spid="_x0000_s19461"/>
            </a:ext>
            <a:ext uri="{FF2B5EF4-FFF2-40B4-BE49-F238E27FC236}">
              <a16:creationId xmlns:a16="http://schemas.microsoft.com/office/drawing/2014/main" id="{00000000-0008-0000-0000-0000054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215900</xdr:colOff>
      <xdr:row>12</xdr:row>
      <xdr:rowOff>177800</xdr:rowOff>
    </xdr:from>
    <xdr:to>
      <xdr:col>13</xdr:col>
      <xdr:colOff>50800</xdr:colOff>
      <xdr:row>14</xdr:row>
      <xdr:rowOff>177800</xdr:rowOff>
    </xdr:to>
    <xdr:sp macro="" textlink="">
      <xdr:nvSpPr>
        <xdr:cNvPr id="19462" name="btnParametros" hidden="1">
          <a:extLst>
            <a:ext uri="{63B3BB69-23CF-44E3-9099-C40C66FF867C}">
              <a14:compatExt xmlns:a14="http://schemas.microsoft.com/office/drawing/2010/main" spid="_x0000_s19462"/>
            </a:ext>
            <a:ext uri="{FF2B5EF4-FFF2-40B4-BE49-F238E27FC236}">
              <a16:creationId xmlns:a16="http://schemas.microsoft.com/office/drawing/2014/main" id="{00000000-0008-0000-0000-0000064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215900</xdr:colOff>
      <xdr:row>7</xdr:row>
      <xdr:rowOff>152400</xdr:rowOff>
    </xdr:from>
    <xdr:to>
      <xdr:col>13</xdr:col>
      <xdr:colOff>50800</xdr:colOff>
      <xdr:row>9</xdr:row>
      <xdr:rowOff>177800</xdr:rowOff>
    </xdr:to>
    <xdr:sp macro="" textlink="">
      <xdr:nvSpPr>
        <xdr:cNvPr id="19463" name="btnInicio" hidden="1">
          <a:extLst>
            <a:ext uri="{63B3BB69-23CF-44E3-9099-C40C66FF867C}">
              <a14:compatExt xmlns:a14="http://schemas.microsoft.com/office/drawing/2010/main" spid="_x0000_s19463"/>
            </a:ext>
            <a:ext uri="{FF2B5EF4-FFF2-40B4-BE49-F238E27FC236}">
              <a16:creationId xmlns:a16="http://schemas.microsoft.com/office/drawing/2014/main" id="{00000000-0008-0000-0000-0000074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215900</xdr:colOff>
      <xdr:row>10</xdr:row>
      <xdr:rowOff>63500</xdr:rowOff>
    </xdr:from>
    <xdr:to>
      <xdr:col>13</xdr:col>
      <xdr:colOff>38100</xdr:colOff>
      <xdr:row>12</xdr:row>
      <xdr:rowOff>88900</xdr:rowOff>
    </xdr:to>
    <xdr:sp macro="" textlink="">
      <xdr:nvSpPr>
        <xdr:cNvPr id="19464" name="btnProceso" hidden="1">
          <a:extLst>
            <a:ext uri="{63B3BB69-23CF-44E3-9099-C40C66FF867C}">
              <a14:compatExt xmlns:a14="http://schemas.microsoft.com/office/drawing/2010/main" spid="_x0000_s19464"/>
            </a:ext>
            <a:ext uri="{FF2B5EF4-FFF2-40B4-BE49-F238E27FC236}">
              <a16:creationId xmlns:a16="http://schemas.microsoft.com/office/drawing/2014/main" id="{00000000-0008-0000-0000-0000084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0</xdr:row>
      <xdr:rowOff>92060</xdr:rowOff>
    </xdr:from>
    <xdr:to>
      <xdr:col>2</xdr:col>
      <xdr:colOff>150</xdr:colOff>
      <xdr:row>3</xdr:row>
      <xdr:rowOff>177800</xdr:rowOff>
    </xdr:to>
    <xdr:pic>
      <xdr:nvPicPr>
        <xdr:cNvPr id="10" name="Imagen 2">
          <a:extLst>
            <a:ext uri="{FF2B5EF4-FFF2-40B4-BE49-F238E27FC236}">
              <a16:creationId xmlns:a16="http://schemas.microsoft.com/office/drawing/2014/main" id="{31B66AD6-C60B-E442-B78D-108D92DA6ABC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92060"/>
          <a:ext cx="1657500" cy="6572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520700</xdr:colOff>
      <xdr:row>7</xdr:row>
      <xdr:rowOff>139700</xdr:rowOff>
    </xdr:from>
    <xdr:to>
      <xdr:col>7</xdr:col>
      <xdr:colOff>298450</xdr:colOff>
      <xdr:row>10</xdr:row>
      <xdr:rowOff>25400</xdr:rowOff>
    </xdr:to>
    <xdr:sp macro="" textlink="">
      <xdr:nvSpPr>
        <xdr:cNvPr id="11" name="Label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2DD216C4-4C39-234C-9A05-83E1446E405E}"/>
            </a:ext>
          </a:extLst>
        </xdr:cNvPr>
        <xdr:cNvSpPr/>
      </xdr:nvSpPr>
      <xdr:spPr bwMode="auto">
        <a:xfrm>
          <a:off x="520700" y="1295400"/>
          <a:ext cx="7493000" cy="4191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63500</xdr:colOff>
      <xdr:row>15</xdr:row>
      <xdr:rowOff>139700</xdr:rowOff>
    </xdr:from>
    <xdr:to>
      <xdr:col>8</xdr:col>
      <xdr:colOff>114300</xdr:colOff>
      <xdr:row>17</xdr:row>
      <xdr:rowOff>101600</xdr:rowOff>
    </xdr:to>
    <xdr:sp macro="" textlink="">
      <xdr:nvSpPr>
        <xdr:cNvPr id="12" name="Label3" hidden="1">
          <a:extLst>
            <a:ext uri="{63B3BB69-23CF-44E3-9099-C40C66FF867C}">
              <a14:compatExt xmlns:a14="http://schemas.microsoft.com/office/drawing/2010/main" spid="_x0000_s1027"/>
            </a:ext>
            <a:ext uri="{FF2B5EF4-FFF2-40B4-BE49-F238E27FC236}">
              <a16:creationId xmlns:a16="http://schemas.microsoft.com/office/drawing/2014/main" id="{7B5C1149-60E8-F84C-8865-A67B18A9EC20}"/>
            </a:ext>
          </a:extLst>
        </xdr:cNvPr>
        <xdr:cNvSpPr/>
      </xdr:nvSpPr>
      <xdr:spPr bwMode="auto">
        <a:xfrm>
          <a:off x="3263900" y="2679700"/>
          <a:ext cx="3352800" cy="3429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368300</xdr:colOff>
      <xdr:row>8</xdr:row>
      <xdr:rowOff>12700</xdr:rowOff>
    </xdr:from>
    <xdr:to>
      <xdr:col>14</xdr:col>
      <xdr:colOff>355600</xdr:colOff>
      <xdr:row>10</xdr:row>
      <xdr:rowOff>50800</xdr:rowOff>
    </xdr:to>
    <xdr:sp macro="" textlink="">
      <xdr:nvSpPr>
        <xdr:cNvPr id="13" name="btnParametros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EDD5FEC7-AEE4-2548-80DD-645F96928539}"/>
            </a:ext>
          </a:extLst>
        </xdr:cNvPr>
        <xdr:cNvSpPr/>
      </xdr:nvSpPr>
      <xdr:spPr bwMode="auto">
        <a:xfrm>
          <a:off x="8369300" y="1397000"/>
          <a:ext cx="3289300" cy="4191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203200</xdr:colOff>
      <xdr:row>3</xdr:row>
      <xdr:rowOff>25400</xdr:rowOff>
    </xdr:from>
    <xdr:to>
      <xdr:col>9</xdr:col>
      <xdr:colOff>660400</xdr:colOff>
      <xdr:row>4</xdr:row>
      <xdr:rowOff>114300</xdr:rowOff>
    </xdr:to>
    <xdr:pic>
      <xdr:nvPicPr>
        <xdr:cNvPr id="14" name="Label4">
          <a:extLst>
            <a:ext uri="{FF2B5EF4-FFF2-40B4-BE49-F238E27FC236}">
              <a16:creationId xmlns:a16="http://schemas.microsoft.com/office/drawing/2014/main" id="{41680274-C1B0-324E-BD12-C336BB5C55C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1000" y="596900"/>
          <a:ext cx="3086100" cy="2794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419100</xdr:colOff>
      <xdr:row>6</xdr:row>
      <xdr:rowOff>101600</xdr:rowOff>
    </xdr:from>
    <xdr:to>
      <xdr:col>6</xdr:col>
      <xdr:colOff>57150</xdr:colOff>
      <xdr:row>10</xdr:row>
      <xdr:rowOff>88900</xdr:rowOff>
    </xdr:to>
    <xdr:pic>
      <xdr:nvPicPr>
        <xdr:cNvPr id="2" name="Label1">
          <a:extLst>
            <a:ext uri="{FF2B5EF4-FFF2-40B4-BE49-F238E27FC236}">
              <a16:creationId xmlns:a16="http://schemas.microsoft.com/office/drawing/2014/main" id="{087A8AF7-60F2-BA84-7A3F-D3A3D382AC16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1244600"/>
          <a:ext cx="6934200" cy="7493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158750</xdr:rowOff>
    </xdr:from>
    <xdr:to>
      <xdr:col>1</xdr:col>
      <xdr:colOff>1364335</xdr:colOff>
      <xdr:row>6</xdr:row>
      <xdr:rowOff>33950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246A3F9-6A86-D846-B0A9-15BCE7F2E4A5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58750"/>
          <a:ext cx="2237460" cy="111345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1600200</xdr:colOff>
      <xdr:row>12</xdr:row>
      <xdr:rowOff>25400</xdr:rowOff>
    </xdr:from>
    <xdr:ext cx="1054100" cy="330200"/>
    <xdr:sp macro="" textlink="">
      <xdr:nvSpPr>
        <xdr:cNvPr id="2" name="btnLink" hidden="1">
          <a:extLst>
            <a:ext uri="{63B3BB69-23CF-44E3-9099-C40C66FF867C}">
              <a14:compatExt xmlns:a14="http://schemas.microsoft.com/office/drawing/2010/main" spid="_x0000_s21509"/>
            </a:ext>
            <a:ext uri="{FF2B5EF4-FFF2-40B4-BE49-F238E27FC236}">
              <a16:creationId xmlns:a16="http://schemas.microsoft.com/office/drawing/2014/main" id="{E127CF17-B84F-5243-B1B0-2873BE04A4C8}"/>
            </a:ext>
          </a:extLst>
        </xdr:cNvPr>
        <xdr:cNvSpPr/>
      </xdr:nvSpPr>
      <xdr:spPr bwMode="auto">
        <a:xfrm>
          <a:off x="10325100" y="1651000"/>
          <a:ext cx="1054100" cy="3302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371475</xdr:colOff>
      <xdr:row>46</xdr:row>
      <xdr:rowOff>0</xdr:rowOff>
    </xdr:to>
    <xdr:sp macro="" textlink="">
      <xdr:nvSpPr>
        <xdr:cNvPr id="3076" name="_x0000_t202" hidden="1">
          <a:extLst>
            <a:ext uri="{FF2B5EF4-FFF2-40B4-BE49-F238E27FC236}">
              <a16:creationId xmlns:a16="http://schemas.microsoft.com/office/drawing/2014/main" id="{00000000-0008-0000-0400-0000040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371475</xdr:colOff>
      <xdr:row>46</xdr:row>
      <xdr:rowOff>0</xdr:rowOff>
    </xdr:to>
    <xdr:sp macro="" textlink="">
      <xdr:nvSpPr>
        <xdr:cNvPr id="3074" name="_x0000_t202" hidden="1">
          <a:extLst>
            <a:ext uri="{FF2B5EF4-FFF2-40B4-BE49-F238E27FC236}">
              <a16:creationId xmlns:a16="http://schemas.microsoft.com/office/drawing/2014/main" id="{00000000-0008-0000-0400-0000020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371475</xdr:colOff>
      <xdr:row>46</xdr:row>
      <xdr:rowOff>0</xdr:rowOff>
    </xdr:to>
    <xdr:sp macro="" textlink="">
      <xdr:nvSpPr>
        <xdr:cNvPr id="2" name="AutoShape 4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371475</xdr:colOff>
      <xdr:row>46</xdr:row>
      <xdr:rowOff>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57150</xdr:colOff>
      <xdr:row>48</xdr:row>
      <xdr:rowOff>0</xdr:rowOff>
    </xdr:to>
    <xdr:sp macro="" textlink="">
      <xdr:nvSpPr>
        <xdr:cNvPr id="5122" name="_x0000_t202" hidden="1">
          <a:extLst>
            <a:ext uri="{FF2B5EF4-FFF2-40B4-BE49-F238E27FC236}">
              <a16:creationId xmlns:a16="http://schemas.microsoft.com/office/drawing/2014/main" id="{00000000-0008-0000-0800-0000021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57150</xdr:colOff>
      <xdr:row>48</xdr:row>
      <xdr:rowOff>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57150</xdr:colOff>
      <xdr:row>48</xdr:row>
      <xdr:rowOff>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57150</xdr:colOff>
      <xdr:row>48</xdr:row>
      <xdr:rowOff>0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57150</xdr:colOff>
      <xdr:row>48</xdr:row>
      <xdr:rowOff>0</xdr:rowOff>
    </xdr:to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57150</xdr:colOff>
      <xdr:row>48</xdr:row>
      <xdr:rowOff>0</xdr:rowOff>
    </xdr:to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57150</xdr:colOff>
      <xdr:row>48</xdr:row>
      <xdr:rowOff>0</xdr:rowOff>
    </xdr:to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57150</xdr:colOff>
      <xdr:row>48</xdr:row>
      <xdr:rowOff>0</xdr:rowOff>
    </xdr:to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57150</xdr:colOff>
      <xdr:row>48</xdr:row>
      <xdr:rowOff>0</xdr:rowOff>
    </xdr:to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57150</xdr:colOff>
      <xdr:row>48</xdr:row>
      <xdr:rowOff>0</xdr:rowOff>
    </xdr:to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57150</xdr:colOff>
      <xdr:row>48</xdr:row>
      <xdr:rowOff>0</xdr:rowOff>
    </xdr:to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57150</xdr:colOff>
      <xdr:row>48</xdr:row>
      <xdr:rowOff>0</xdr:rowOff>
    </xdr:to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57150</xdr:colOff>
      <xdr:row>48</xdr:row>
      <xdr:rowOff>0</xdr:rowOff>
    </xdr:to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57150</xdr:colOff>
      <xdr:row>48</xdr:row>
      <xdr:rowOff>0</xdr:rowOff>
    </xdr:to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57150</xdr:colOff>
      <xdr:row>48</xdr:row>
      <xdr:rowOff>0</xdr:rowOff>
    </xdr:to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200024</xdr:colOff>
      <xdr:row>15</xdr:row>
      <xdr:rowOff>161925</xdr:rowOff>
    </xdr:from>
    <xdr:to>
      <xdr:col>4</xdr:col>
      <xdr:colOff>561975</xdr:colOff>
      <xdr:row>30</xdr:row>
      <xdr:rowOff>47625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390525</xdr:colOff>
      <xdr:row>1</xdr:row>
      <xdr:rowOff>171450</xdr:rowOff>
    </xdr:from>
    <xdr:to>
      <xdr:col>15</xdr:col>
      <xdr:colOff>257175</xdr:colOff>
      <xdr:row>15</xdr:row>
      <xdr:rowOff>47625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9</xdr:col>
      <xdr:colOff>94680</xdr:colOff>
      <xdr:row>10</xdr:row>
      <xdr:rowOff>439200</xdr:rowOff>
    </xdr:from>
    <xdr:to>
      <xdr:col>9</xdr:col>
      <xdr:colOff>511200</xdr:colOff>
      <xdr:row>11</xdr:row>
      <xdr:rowOff>169560</xdr:rowOff>
    </xdr:to>
    <xdr:sp macro="" textlink="">
      <xdr:nvSpPr>
        <xdr:cNvPr id="14" name="CustomShape 1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SpPr/>
      </xdr:nvSpPr>
      <xdr:spPr>
        <a:xfrm>
          <a:off x="8338680" y="2687040"/>
          <a:ext cx="416520" cy="2257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>
          <a:noAutofit/>
        </a:bodyPr>
        <a:lstStyle/>
        <a:p>
          <a:pPr>
            <a:lnSpc>
              <a:spcPct val="100000"/>
            </a:lnSpc>
          </a:pPr>
          <a:r>
            <a:rPr lang="es-CO" sz="1100" b="0" strike="noStrike" spc="-1">
              <a:solidFill>
                <a:srgbClr val="000000"/>
              </a:solidFill>
              <a:latin typeface="Calibri"/>
            </a:rPr>
            <a:t>Ft</a:t>
          </a:r>
          <a:endParaRPr lang="es-CO" sz="1100" b="0" strike="noStrike" spc="-1">
            <a:latin typeface="Times New Roman"/>
          </a:endParaRPr>
        </a:p>
      </xdr:txBody>
    </xdr:sp>
    <xdr:clientData/>
  </xdr:twoCellAnchor>
  <xdr:twoCellAnchor editAs="absolute">
    <xdr:from>
      <xdr:col>9</xdr:col>
      <xdr:colOff>93240</xdr:colOff>
      <xdr:row>10</xdr:row>
      <xdr:rowOff>270720</xdr:rowOff>
    </xdr:from>
    <xdr:to>
      <xdr:col>9</xdr:col>
      <xdr:colOff>509760</xdr:colOff>
      <xdr:row>11</xdr:row>
      <xdr:rowOff>2520</xdr:rowOff>
    </xdr:to>
    <xdr:sp macro="" textlink="">
      <xdr:nvSpPr>
        <xdr:cNvPr id="15" name="CustomShape 1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SpPr/>
      </xdr:nvSpPr>
      <xdr:spPr>
        <a:xfrm>
          <a:off x="8337240" y="2518560"/>
          <a:ext cx="416520" cy="227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>
          <a:noAutofit/>
        </a:bodyPr>
        <a:lstStyle/>
        <a:p>
          <a:pPr>
            <a:lnSpc>
              <a:spcPct val="100000"/>
            </a:lnSpc>
          </a:pPr>
          <a:r>
            <a:rPr lang="es-CO" sz="1100" b="0" strike="noStrike" spc="-1">
              <a:solidFill>
                <a:srgbClr val="000000"/>
              </a:solidFill>
              <a:latin typeface="Calibri"/>
            </a:rPr>
            <a:t>m</a:t>
          </a:r>
          <a:endParaRPr lang="es-CO" sz="1100" b="0" strike="noStrike" spc="-1">
            <a:latin typeface="Times New Roman"/>
          </a:endParaRPr>
        </a:p>
      </xdr:txBody>
    </xdr:sp>
    <xdr:clientData/>
  </xdr:twoCellAnchor>
  <xdr:twoCellAnchor editAs="absolute">
    <xdr:from>
      <xdr:col>6</xdr:col>
      <xdr:colOff>761040</xdr:colOff>
      <xdr:row>13</xdr:row>
      <xdr:rowOff>134640</xdr:rowOff>
    </xdr:from>
    <xdr:to>
      <xdr:col>7</xdr:col>
      <xdr:colOff>505800</xdr:colOff>
      <xdr:row>13</xdr:row>
      <xdr:rowOff>135000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SpPr/>
      </xdr:nvSpPr>
      <xdr:spPr>
        <a:xfrm>
          <a:off x="6517080" y="3696840"/>
          <a:ext cx="621000" cy="360"/>
        </a:xfrm>
        <a:prstGeom prst="line">
          <a:avLst/>
        </a:prstGeom>
        <a:ln>
          <a:solidFill>
            <a:srgbClr val="4A7EBB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absolute">
    <xdr:from>
      <xdr:col>8</xdr:col>
      <xdr:colOff>136800</xdr:colOff>
      <xdr:row>13</xdr:row>
      <xdr:rowOff>134640</xdr:rowOff>
    </xdr:from>
    <xdr:to>
      <xdr:col>8</xdr:col>
      <xdr:colOff>758160</xdr:colOff>
      <xdr:row>13</xdr:row>
      <xdr:rowOff>135000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SpPr/>
      </xdr:nvSpPr>
      <xdr:spPr>
        <a:xfrm>
          <a:off x="7575120" y="3696840"/>
          <a:ext cx="621360" cy="360"/>
        </a:xfrm>
        <a:prstGeom prst="line">
          <a:avLst/>
        </a:prstGeom>
        <a:ln>
          <a:solidFill>
            <a:srgbClr val="4A7EBB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absolute">
    <xdr:from>
      <xdr:col>6</xdr:col>
      <xdr:colOff>768960</xdr:colOff>
      <xdr:row>13</xdr:row>
      <xdr:rowOff>43920</xdr:rowOff>
    </xdr:from>
    <xdr:to>
      <xdr:col>6</xdr:col>
      <xdr:colOff>769320</xdr:colOff>
      <xdr:row>14</xdr:row>
      <xdr:rowOff>43920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SpPr/>
      </xdr:nvSpPr>
      <xdr:spPr>
        <a:xfrm>
          <a:off x="6525000" y="3606120"/>
          <a:ext cx="360" cy="190440"/>
        </a:xfrm>
        <a:prstGeom prst="line">
          <a:avLst/>
        </a:prstGeom>
        <a:ln>
          <a:solidFill>
            <a:srgbClr val="4A7EBB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absolute">
    <xdr:from>
      <xdr:col>8</xdr:col>
      <xdr:colOff>758160</xdr:colOff>
      <xdr:row>13</xdr:row>
      <xdr:rowOff>45720</xdr:rowOff>
    </xdr:from>
    <xdr:to>
      <xdr:col>8</xdr:col>
      <xdr:colOff>759795</xdr:colOff>
      <xdr:row>14</xdr:row>
      <xdr:rowOff>56160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SpPr/>
      </xdr:nvSpPr>
      <xdr:spPr>
        <a:xfrm>
          <a:off x="8196480" y="3607920"/>
          <a:ext cx="11160" cy="200880"/>
        </a:xfrm>
        <a:prstGeom prst="line">
          <a:avLst/>
        </a:prstGeom>
        <a:ln>
          <a:solidFill>
            <a:srgbClr val="4A7EBB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absolute">
    <xdr:from>
      <xdr:col>9</xdr:col>
      <xdr:colOff>103680</xdr:colOff>
      <xdr:row>11</xdr:row>
      <xdr:rowOff>234360</xdr:rowOff>
    </xdr:from>
    <xdr:to>
      <xdr:col>9</xdr:col>
      <xdr:colOff>103680</xdr:colOff>
      <xdr:row>13</xdr:row>
      <xdr:rowOff>11880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00000000-0008-0000-0C00-000014000000}"/>
            </a:ext>
          </a:extLst>
        </xdr:cNvPr>
        <xdr:cNvSpPr/>
      </xdr:nvSpPr>
      <xdr:spPr>
        <a:xfrm>
          <a:off x="8347680" y="2977560"/>
          <a:ext cx="0" cy="596520"/>
        </a:xfrm>
        <a:prstGeom prst="line">
          <a:avLst/>
        </a:prstGeom>
        <a:ln>
          <a:solidFill>
            <a:srgbClr val="4A7EBB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absolute">
    <xdr:from>
      <xdr:col>9</xdr:col>
      <xdr:colOff>102960</xdr:colOff>
      <xdr:row>9</xdr:row>
      <xdr:rowOff>187920</xdr:rowOff>
    </xdr:from>
    <xdr:to>
      <xdr:col>9</xdr:col>
      <xdr:colOff>103320</xdr:colOff>
      <xdr:row>10</xdr:row>
      <xdr:rowOff>368640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00000000-0008-0000-0C00-000015000000}"/>
            </a:ext>
          </a:extLst>
        </xdr:cNvPr>
        <xdr:cNvSpPr/>
      </xdr:nvSpPr>
      <xdr:spPr>
        <a:xfrm>
          <a:off x="8346960" y="2235600"/>
          <a:ext cx="360" cy="380880"/>
        </a:xfrm>
        <a:prstGeom prst="line">
          <a:avLst/>
        </a:prstGeom>
        <a:ln>
          <a:solidFill>
            <a:srgbClr val="4A7EBB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absolute">
    <xdr:from>
      <xdr:col>9</xdr:col>
      <xdr:colOff>6120</xdr:colOff>
      <xdr:row>13</xdr:row>
      <xdr:rowOff>8280</xdr:rowOff>
    </xdr:from>
    <xdr:to>
      <xdr:col>9</xdr:col>
      <xdr:colOff>195120</xdr:colOff>
      <xdr:row>13</xdr:row>
      <xdr:rowOff>8640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00000000-0008-0000-0C00-000016000000}"/>
            </a:ext>
          </a:extLst>
        </xdr:cNvPr>
        <xdr:cNvSpPr/>
      </xdr:nvSpPr>
      <xdr:spPr>
        <a:xfrm>
          <a:off x="8250120" y="3570480"/>
          <a:ext cx="189000" cy="360"/>
        </a:xfrm>
        <a:prstGeom prst="line">
          <a:avLst/>
        </a:prstGeom>
        <a:ln>
          <a:solidFill>
            <a:srgbClr val="4A7EBB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absolute">
    <xdr:from>
      <xdr:col>9</xdr:col>
      <xdr:colOff>0</xdr:colOff>
      <xdr:row>9</xdr:row>
      <xdr:rowOff>187920</xdr:rowOff>
    </xdr:from>
    <xdr:to>
      <xdr:col>9</xdr:col>
      <xdr:colOff>188640</xdr:colOff>
      <xdr:row>9</xdr:row>
      <xdr:rowOff>188280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00000000-0008-0000-0C00-000017000000}"/>
            </a:ext>
          </a:extLst>
        </xdr:cNvPr>
        <xdr:cNvSpPr/>
      </xdr:nvSpPr>
      <xdr:spPr>
        <a:xfrm>
          <a:off x="8244000" y="2235600"/>
          <a:ext cx="188640" cy="360"/>
        </a:xfrm>
        <a:prstGeom prst="line">
          <a:avLst/>
        </a:prstGeom>
        <a:ln>
          <a:solidFill>
            <a:srgbClr val="4A7EBB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3</xdr:col>
      <xdr:colOff>162000</xdr:colOff>
      <xdr:row>142</xdr:row>
      <xdr:rowOff>0</xdr:rowOff>
    </xdr:from>
    <xdr:to>
      <xdr:col>3</xdr:col>
      <xdr:colOff>355680</xdr:colOff>
      <xdr:row>143</xdr:row>
      <xdr:rowOff>92880</xdr:rowOff>
    </xdr:to>
    <xdr:sp macro="" textlink="">
      <xdr:nvSpPr>
        <xdr:cNvPr id="24" name="CustomShape 1">
          <a:extLst>
            <a:ext uri="{FF2B5EF4-FFF2-40B4-BE49-F238E27FC236}">
              <a16:creationId xmlns:a16="http://schemas.microsoft.com/office/drawing/2014/main" id="{00000000-0008-0000-0C00-000018000000}"/>
            </a:ext>
          </a:extLst>
        </xdr:cNvPr>
        <xdr:cNvSpPr/>
      </xdr:nvSpPr>
      <xdr:spPr>
        <a:xfrm>
          <a:off x="3084840" y="27993960"/>
          <a:ext cx="193680" cy="2545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7</xdr:col>
      <xdr:colOff>542160</xdr:colOff>
      <xdr:row>154</xdr:row>
      <xdr:rowOff>0</xdr:rowOff>
    </xdr:from>
    <xdr:to>
      <xdr:col>7</xdr:col>
      <xdr:colOff>789120</xdr:colOff>
      <xdr:row>155</xdr:row>
      <xdr:rowOff>73080</xdr:rowOff>
    </xdr:to>
    <xdr:sp macro="" textlink="">
      <xdr:nvSpPr>
        <xdr:cNvPr id="25" name="CustomShape 1">
          <a:extLst>
            <a:ext uri="{FF2B5EF4-FFF2-40B4-BE49-F238E27FC236}">
              <a16:creationId xmlns:a16="http://schemas.microsoft.com/office/drawing/2014/main" id="{00000000-0008-0000-0C00-000019000000}"/>
            </a:ext>
          </a:extLst>
        </xdr:cNvPr>
        <xdr:cNvSpPr/>
      </xdr:nvSpPr>
      <xdr:spPr>
        <a:xfrm flipH="1">
          <a:off x="7174440" y="30070080"/>
          <a:ext cx="246960" cy="26388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725040</xdr:colOff>
      <xdr:row>8</xdr:row>
      <xdr:rowOff>187920</xdr:rowOff>
    </xdr:from>
    <xdr:to>
      <xdr:col>8</xdr:col>
      <xdr:colOff>725040</xdr:colOff>
      <xdr:row>10</xdr:row>
      <xdr:rowOff>9360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00000000-0008-0000-0C00-00001A000000}"/>
            </a:ext>
          </a:extLst>
        </xdr:cNvPr>
        <xdr:cNvSpPr/>
      </xdr:nvSpPr>
      <xdr:spPr>
        <a:xfrm>
          <a:off x="8163360" y="2045160"/>
          <a:ext cx="0" cy="212040"/>
        </a:xfrm>
        <a:prstGeom prst="line">
          <a:avLst/>
        </a:prstGeom>
        <a:ln w="12600">
          <a:solidFill>
            <a:srgbClr val="FFFFFF"/>
          </a:solidFill>
          <a:round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8</xdr:col>
      <xdr:colOff>193320</xdr:colOff>
      <xdr:row>8</xdr:row>
      <xdr:rowOff>161640</xdr:rowOff>
    </xdr:from>
    <xdr:to>
      <xdr:col>8</xdr:col>
      <xdr:colOff>466200</xdr:colOff>
      <xdr:row>10</xdr:row>
      <xdr:rowOff>720</xdr:rowOff>
    </xdr:to>
    <xdr:sp macro="" textlink="">
      <xdr:nvSpPr>
        <xdr:cNvPr id="27" name="CustomShape 1">
          <a:extLst>
            <a:ext uri="{FF2B5EF4-FFF2-40B4-BE49-F238E27FC236}">
              <a16:creationId xmlns:a16="http://schemas.microsoft.com/office/drawing/2014/main" id="{00000000-0008-0000-0C00-00001B000000}"/>
            </a:ext>
          </a:extLst>
        </xdr:cNvPr>
        <xdr:cNvSpPr/>
      </xdr:nvSpPr>
      <xdr:spPr>
        <a:xfrm>
          <a:off x="7631640" y="2018880"/>
          <a:ext cx="272880" cy="22968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>
          <a:spAutoFit/>
        </a:bodyPr>
        <a:lstStyle/>
        <a:p>
          <a:pPr>
            <a:lnSpc>
              <a:spcPct val="100000"/>
            </a:lnSpc>
          </a:pPr>
          <a:r>
            <a:rPr lang="es-CO" sz="1100" b="0" strike="noStrike" spc="-1">
              <a:solidFill>
                <a:srgbClr val="000000"/>
              </a:solidFill>
              <a:latin typeface="Calibri"/>
            </a:rPr>
            <a:t>m</a:t>
          </a:r>
          <a:endParaRPr lang="es-CO" sz="1100" b="0" strike="noStrike" spc="-1">
            <a:latin typeface="Times New Roman"/>
          </a:endParaRPr>
        </a:p>
      </xdr:txBody>
    </xdr:sp>
    <xdr:clientData/>
  </xdr:twoCellAnchor>
  <xdr:twoCellAnchor>
    <xdr:from>
      <xdr:col>7</xdr:col>
      <xdr:colOff>27360</xdr:colOff>
      <xdr:row>9</xdr:row>
      <xdr:rowOff>10440</xdr:rowOff>
    </xdr:from>
    <xdr:to>
      <xdr:col>7</xdr:col>
      <xdr:colOff>28440</xdr:colOff>
      <xdr:row>10</xdr:row>
      <xdr:rowOff>20160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00000000-0008-0000-0C00-00001C000000}"/>
            </a:ext>
          </a:extLst>
        </xdr:cNvPr>
        <xdr:cNvSpPr/>
      </xdr:nvSpPr>
      <xdr:spPr>
        <a:xfrm>
          <a:off x="6659640" y="2058120"/>
          <a:ext cx="1080" cy="209880"/>
        </a:xfrm>
        <a:prstGeom prst="line">
          <a:avLst/>
        </a:prstGeom>
        <a:ln w="12600">
          <a:solidFill>
            <a:srgbClr val="FFFFFF"/>
          </a:solidFill>
          <a:round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7</xdr:col>
      <xdr:colOff>29520</xdr:colOff>
      <xdr:row>9</xdr:row>
      <xdr:rowOff>113040</xdr:rowOff>
    </xdr:from>
    <xdr:to>
      <xdr:col>7</xdr:col>
      <xdr:colOff>738000</xdr:colOff>
      <xdr:row>9</xdr:row>
      <xdr:rowOff>114480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00000000-0008-0000-0C00-00001D000000}"/>
            </a:ext>
          </a:extLst>
        </xdr:cNvPr>
        <xdr:cNvSpPr/>
      </xdr:nvSpPr>
      <xdr:spPr>
        <a:xfrm>
          <a:off x="6661800" y="2160720"/>
          <a:ext cx="708480" cy="1440"/>
        </a:xfrm>
        <a:prstGeom prst="line">
          <a:avLst/>
        </a:prstGeom>
        <a:ln>
          <a:solidFill>
            <a:srgbClr val="4A7EBB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8</xdr:col>
      <xdr:colOff>466560</xdr:colOff>
      <xdr:row>9</xdr:row>
      <xdr:rowOff>101160</xdr:rowOff>
    </xdr:from>
    <xdr:to>
      <xdr:col>8</xdr:col>
      <xdr:colOff>726120</xdr:colOff>
      <xdr:row>9</xdr:row>
      <xdr:rowOff>103320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00000000-0008-0000-0C00-00001E000000}"/>
            </a:ext>
          </a:extLst>
        </xdr:cNvPr>
        <xdr:cNvSpPr/>
      </xdr:nvSpPr>
      <xdr:spPr>
        <a:xfrm flipV="1">
          <a:off x="7904880" y="2148840"/>
          <a:ext cx="259560" cy="2160"/>
        </a:xfrm>
        <a:prstGeom prst="line">
          <a:avLst/>
        </a:prstGeom>
        <a:ln>
          <a:solidFill>
            <a:srgbClr val="4A7EBB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absolute">
    <xdr:from>
      <xdr:col>7</xdr:col>
      <xdr:colOff>271440</xdr:colOff>
      <xdr:row>10</xdr:row>
      <xdr:rowOff>64440</xdr:rowOff>
    </xdr:from>
    <xdr:to>
      <xdr:col>7</xdr:col>
      <xdr:colOff>273240</xdr:colOff>
      <xdr:row>10</xdr:row>
      <xdr:rowOff>155160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00000000-0008-0000-0C00-00001F000000}"/>
            </a:ext>
          </a:extLst>
        </xdr:cNvPr>
        <xdr:cNvSpPr/>
      </xdr:nvSpPr>
      <xdr:spPr>
        <a:xfrm flipH="1">
          <a:off x="6903720" y="2312280"/>
          <a:ext cx="1800" cy="90720"/>
        </a:xfrm>
        <a:prstGeom prst="line">
          <a:avLst/>
        </a:prstGeom>
        <a:ln>
          <a:solidFill>
            <a:srgbClr val="FFFF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absolute">
    <xdr:from>
      <xdr:col>7</xdr:col>
      <xdr:colOff>274680</xdr:colOff>
      <xdr:row>10</xdr:row>
      <xdr:rowOff>73440</xdr:rowOff>
    </xdr:from>
    <xdr:to>
      <xdr:col>8</xdr:col>
      <xdr:colOff>483120</xdr:colOff>
      <xdr:row>10</xdr:row>
      <xdr:rowOff>75960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00000000-0008-0000-0C00-000020000000}"/>
            </a:ext>
          </a:extLst>
        </xdr:cNvPr>
        <xdr:cNvSpPr/>
      </xdr:nvSpPr>
      <xdr:spPr>
        <a:xfrm flipV="1">
          <a:off x="6906960" y="2321280"/>
          <a:ext cx="1014480" cy="2520"/>
        </a:xfrm>
        <a:prstGeom prst="line">
          <a:avLst/>
        </a:prstGeom>
        <a:ln>
          <a:solidFill>
            <a:srgbClr val="FFFF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absolute">
    <xdr:from>
      <xdr:col>8</xdr:col>
      <xdr:colOff>486000</xdr:colOff>
      <xdr:row>10</xdr:row>
      <xdr:rowOff>56880</xdr:rowOff>
    </xdr:from>
    <xdr:to>
      <xdr:col>8</xdr:col>
      <xdr:colOff>487440</xdr:colOff>
      <xdr:row>10</xdr:row>
      <xdr:rowOff>151920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00000000-0008-0000-0C00-000021000000}"/>
            </a:ext>
          </a:extLst>
        </xdr:cNvPr>
        <xdr:cNvSpPr/>
      </xdr:nvSpPr>
      <xdr:spPr>
        <a:xfrm flipH="1">
          <a:off x="7924320" y="2304720"/>
          <a:ext cx="1440" cy="95040"/>
        </a:xfrm>
        <a:prstGeom prst="line">
          <a:avLst/>
        </a:prstGeom>
        <a:ln>
          <a:solidFill>
            <a:srgbClr val="FFFF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absolute">
    <xdr:from>
      <xdr:col>8</xdr:col>
      <xdr:colOff>486000</xdr:colOff>
      <xdr:row>10</xdr:row>
      <xdr:rowOff>20880</xdr:rowOff>
    </xdr:from>
    <xdr:to>
      <xdr:col>8</xdr:col>
      <xdr:colOff>725760</xdr:colOff>
      <xdr:row>10</xdr:row>
      <xdr:rowOff>58320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00000000-0008-0000-0C00-000022000000}"/>
            </a:ext>
          </a:extLst>
        </xdr:cNvPr>
        <xdr:cNvSpPr/>
      </xdr:nvSpPr>
      <xdr:spPr>
        <a:xfrm flipV="1">
          <a:off x="7924320" y="2268720"/>
          <a:ext cx="239760" cy="37440"/>
        </a:xfrm>
        <a:prstGeom prst="line">
          <a:avLst/>
        </a:prstGeom>
        <a:ln>
          <a:solidFill>
            <a:srgbClr val="FFFF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absolute">
    <xdr:from>
      <xdr:col>8</xdr:col>
      <xdr:colOff>481320</xdr:colOff>
      <xdr:row>10</xdr:row>
      <xdr:rowOff>151920</xdr:rowOff>
    </xdr:from>
    <xdr:to>
      <xdr:col>8</xdr:col>
      <xdr:colOff>733320</xdr:colOff>
      <xdr:row>10</xdr:row>
      <xdr:rowOff>175320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00000000-0008-0000-0C00-000023000000}"/>
            </a:ext>
          </a:extLst>
        </xdr:cNvPr>
        <xdr:cNvSpPr/>
      </xdr:nvSpPr>
      <xdr:spPr>
        <a:xfrm>
          <a:off x="7919640" y="2399760"/>
          <a:ext cx="252000" cy="23400"/>
        </a:xfrm>
        <a:prstGeom prst="line">
          <a:avLst/>
        </a:prstGeom>
        <a:ln>
          <a:solidFill>
            <a:srgbClr val="FFFF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absolute">
    <xdr:from>
      <xdr:col>8</xdr:col>
      <xdr:colOff>728280</xdr:colOff>
      <xdr:row>10</xdr:row>
      <xdr:rowOff>16920</xdr:rowOff>
    </xdr:from>
    <xdr:to>
      <xdr:col>8</xdr:col>
      <xdr:colOff>731880</xdr:colOff>
      <xdr:row>10</xdr:row>
      <xdr:rowOff>181440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00000000-0008-0000-0C00-000024000000}"/>
            </a:ext>
          </a:extLst>
        </xdr:cNvPr>
        <xdr:cNvSpPr/>
      </xdr:nvSpPr>
      <xdr:spPr>
        <a:xfrm>
          <a:off x="8166600" y="2264760"/>
          <a:ext cx="3600" cy="164520"/>
        </a:xfrm>
        <a:prstGeom prst="line">
          <a:avLst/>
        </a:prstGeom>
        <a:ln>
          <a:solidFill>
            <a:srgbClr val="FFFF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absolute">
    <xdr:from>
      <xdr:col>7</xdr:col>
      <xdr:colOff>25920</xdr:colOff>
      <xdr:row>10</xdr:row>
      <xdr:rowOff>22680</xdr:rowOff>
    </xdr:from>
    <xdr:to>
      <xdr:col>7</xdr:col>
      <xdr:colOff>276120</xdr:colOff>
      <xdr:row>10</xdr:row>
      <xdr:rowOff>62280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00000000-0008-0000-0C00-000025000000}"/>
            </a:ext>
          </a:extLst>
        </xdr:cNvPr>
        <xdr:cNvSpPr/>
      </xdr:nvSpPr>
      <xdr:spPr>
        <a:xfrm flipH="1" flipV="1">
          <a:off x="6658200" y="2270520"/>
          <a:ext cx="250200" cy="39600"/>
        </a:xfrm>
        <a:prstGeom prst="line">
          <a:avLst/>
        </a:prstGeom>
        <a:ln>
          <a:solidFill>
            <a:srgbClr val="FFFF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absolute">
    <xdr:from>
      <xdr:col>7</xdr:col>
      <xdr:colOff>23760</xdr:colOff>
      <xdr:row>10</xdr:row>
      <xdr:rowOff>150480</xdr:rowOff>
    </xdr:from>
    <xdr:to>
      <xdr:col>7</xdr:col>
      <xdr:colOff>279360</xdr:colOff>
      <xdr:row>10</xdr:row>
      <xdr:rowOff>188280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00000000-0008-0000-0C00-000026000000}"/>
            </a:ext>
          </a:extLst>
        </xdr:cNvPr>
        <xdr:cNvSpPr/>
      </xdr:nvSpPr>
      <xdr:spPr>
        <a:xfrm flipH="1">
          <a:off x="6656040" y="2398320"/>
          <a:ext cx="255600" cy="37800"/>
        </a:xfrm>
        <a:prstGeom prst="line">
          <a:avLst/>
        </a:prstGeom>
        <a:ln>
          <a:solidFill>
            <a:srgbClr val="FFFF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absolute">
    <xdr:from>
      <xdr:col>7</xdr:col>
      <xdr:colOff>26280</xdr:colOff>
      <xdr:row>10</xdr:row>
      <xdr:rowOff>20880</xdr:rowOff>
    </xdr:from>
    <xdr:to>
      <xdr:col>7</xdr:col>
      <xdr:colOff>29880</xdr:colOff>
      <xdr:row>10</xdr:row>
      <xdr:rowOff>185760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00000000-0008-0000-0C00-000027000000}"/>
            </a:ext>
          </a:extLst>
        </xdr:cNvPr>
        <xdr:cNvSpPr/>
      </xdr:nvSpPr>
      <xdr:spPr>
        <a:xfrm>
          <a:off x="6658560" y="2268720"/>
          <a:ext cx="3600" cy="164880"/>
        </a:xfrm>
        <a:prstGeom prst="line">
          <a:avLst/>
        </a:prstGeom>
        <a:ln>
          <a:solidFill>
            <a:srgbClr val="FFFF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absolute">
    <xdr:from>
      <xdr:col>7</xdr:col>
      <xdr:colOff>277560</xdr:colOff>
      <xdr:row>10</xdr:row>
      <xdr:rowOff>143640</xdr:rowOff>
    </xdr:from>
    <xdr:to>
      <xdr:col>8</xdr:col>
      <xdr:colOff>486000</xdr:colOff>
      <xdr:row>10</xdr:row>
      <xdr:rowOff>146160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00000000-0008-0000-0C00-000028000000}"/>
            </a:ext>
          </a:extLst>
        </xdr:cNvPr>
        <xdr:cNvSpPr/>
      </xdr:nvSpPr>
      <xdr:spPr>
        <a:xfrm flipV="1">
          <a:off x="6909840" y="2391480"/>
          <a:ext cx="1014480" cy="2520"/>
        </a:xfrm>
        <a:prstGeom prst="line">
          <a:avLst/>
        </a:prstGeom>
        <a:ln>
          <a:solidFill>
            <a:srgbClr val="FFFF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16</xdr:col>
      <xdr:colOff>100800</xdr:colOff>
      <xdr:row>12</xdr:row>
      <xdr:rowOff>134640</xdr:rowOff>
    </xdr:from>
    <xdr:to>
      <xdr:col>19</xdr:col>
      <xdr:colOff>510480</xdr:colOff>
      <xdr:row>16</xdr:row>
      <xdr:rowOff>106920</xdr:rowOff>
    </xdr:to>
    <xdr:pic>
      <xdr:nvPicPr>
        <xdr:cNvPr id="41" name="Picture 9">
          <a:extLst>
            <a:ext uri="{FF2B5EF4-FFF2-40B4-BE49-F238E27FC236}">
              <a16:creationId xmlns:a16="http://schemas.microsoft.com/office/drawing/2014/main" id="{00000000-0008-0000-0C00-000029000000}"/>
            </a:ext>
          </a:extLst>
        </xdr:cNvPr>
        <xdr:cNvPicPr/>
      </xdr:nvPicPr>
      <xdr:blipFill>
        <a:blip xmlns:r="http://schemas.openxmlformats.org/officeDocument/2006/relationships" r:embed="rId1"/>
        <a:srcRect l="2206" r="2206"/>
        <a:stretch/>
      </xdr:blipFill>
      <xdr:spPr>
        <a:xfrm>
          <a:off x="14080680" y="3372840"/>
          <a:ext cx="3312360" cy="867600"/>
        </a:xfrm>
        <a:prstGeom prst="rect">
          <a:avLst/>
        </a:prstGeom>
        <a:ln w="9360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9</xdr:col>
      <xdr:colOff>94680</xdr:colOff>
      <xdr:row>10</xdr:row>
      <xdr:rowOff>399240</xdr:rowOff>
    </xdr:from>
    <xdr:to>
      <xdr:col>9</xdr:col>
      <xdr:colOff>511200</xdr:colOff>
      <xdr:row>11</xdr:row>
      <xdr:rowOff>131040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/>
      </xdr:nvSpPr>
      <xdr:spPr>
        <a:xfrm>
          <a:off x="8226360" y="2647080"/>
          <a:ext cx="416520" cy="227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>
          <a:noAutofit/>
        </a:bodyPr>
        <a:lstStyle/>
        <a:p>
          <a:pPr>
            <a:lnSpc>
              <a:spcPct val="100000"/>
            </a:lnSpc>
          </a:pPr>
          <a:r>
            <a:rPr lang="es-CO" sz="1100" b="0" strike="noStrike" spc="-1">
              <a:solidFill>
                <a:srgbClr val="000000"/>
              </a:solidFill>
              <a:latin typeface="Calibri"/>
            </a:rPr>
            <a:t>Ft</a:t>
          </a:r>
          <a:endParaRPr lang="es-CO" sz="1100" b="0" strike="noStrike" spc="-1">
            <a:latin typeface="Times New Roman"/>
          </a:endParaRPr>
        </a:p>
      </xdr:txBody>
    </xdr:sp>
    <xdr:clientData/>
  </xdr:twoCellAnchor>
  <xdr:twoCellAnchor editAs="absolute">
    <xdr:from>
      <xdr:col>9</xdr:col>
      <xdr:colOff>93240</xdr:colOff>
      <xdr:row>10</xdr:row>
      <xdr:rowOff>272520</xdr:rowOff>
    </xdr:from>
    <xdr:to>
      <xdr:col>9</xdr:col>
      <xdr:colOff>509760</xdr:colOff>
      <xdr:row>11</xdr:row>
      <xdr:rowOff>5760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SpPr/>
      </xdr:nvSpPr>
      <xdr:spPr>
        <a:xfrm>
          <a:off x="8224920" y="2520360"/>
          <a:ext cx="416520" cy="2286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>
          <a:noAutofit/>
        </a:bodyPr>
        <a:lstStyle/>
        <a:p>
          <a:pPr>
            <a:lnSpc>
              <a:spcPct val="100000"/>
            </a:lnSpc>
          </a:pPr>
          <a:r>
            <a:rPr lang="es-CO" sz="1100" b="0" strike="noStrike" spc="-1">
              <a:solidFill>
                <a:srgbClr val="000000"/>
              </a:solidFill>
              <a:latin typeface="Calibri"/>
            </a:rPr>
            <a:t>m</a:t>
          </a:r>
          <a:endParaRPr lang="es-CO" sz="1100" b="0" strike="noStrike" spc="-1">
            <a:latin typeface="Times New Roman"/>
          </a:endParaRPr>
        </a:p>
      </xdr:txBody>
    </xdr:sp>
    <xdr:clientData/>
  </xdr:twoCellAnchor>
  <xdr:twoCellAnchor editAs="absolute">
    <xdr:from>
      <xdr:col>6</xdr:col>
      <xdr:colOff>761040</xdr:colOff>
      <xdr:row>13</xdr:row>
      <xdr:rowOff>134280</xdr:rowOff>
    </xdr:from>
    <xdr:to>
      <xdr:col>7</xdr:col>
      <xdr:colOff>506160</xdr:colOff>
      <xdr:row>13</xdr:row>
      <xdr:rowOff>134640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SpPr/>
      </xdr:nvSpPr>
      <xdr:spPr>
        <a:xfrm>
          <a:off x="6404760" y="3705840"/>
          <a:ext cx="621360" cy="360"/>
        </a:xfrm>
        <a:prstGeom prst="line">
          <a:avLst/>
        </a:prstGeom>
        <a:ln>
          <a:solidFill>
            <a:srgbClr val="4A7EBB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absolute">
    <xdr:from>
      <xdr:col>8</xdr:col>
      <xdr:colOff>137160</xdr:colOff>
      <xdr:row>13</xdr:row>
      <xdr:rowOff>134280</xdr:rowOff>
    </xdr:from>
    <xdr:to>
      <xdr:col>8</xdr:col>
      <xdr:colOff>758520</xdr:colOff>
      <xdr:row>13</xdr:row>
      <xdr:rowOff>134640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SpPr/>
      </xdr:nvSpPr>
      <xdr:spPr>
        <a:xfrm>
          <a:off x="7462800" y="3705840"/>
          <a:ext cx="621360" cy="360"/>
        </a:xfrm>
        <a:prstGeom prst="line">
          <a:avLst/>
        </a:prstGeom>
        <a:ln>
          <a:solidFill>
            <a:srgbClr val="4A7EBB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absolute">
    <xdr:from>
      <xdr:col>6</xdr:col>
      <xdr:colOff>768960</xdr:colOff>
      <xdr:row>13</xdr:row>
      <xdr:rowOff>43200</xdr:rowOff>
    </xdr:from>
    <xdr:to>
      <xdr:col>6</xdr:col>
      <xdr:colOff>769320</xdr:colOff>
      <xdr:row>14</xdr:row>
      <xdr:rowOff>43920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SpPr/>
      </xdr:nvSpPr>
      <xdr:spPr>
        <a:xfrm>
          <a:off x="6412680" y="3614760"/>
          <a:ext cx="360" cy="191520"/>
        </a:xfrm>
        <a:prstGeom prst="line">
          <a:avLst/>
        </a:prstGeom>
        <a:ln>
          <a:solidFill>
            <a:srgbClr val="4A7EBB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absolute">
    <xdr:from>
      <xdr:col>8</xdr:col>
      <xdr:colOff>758520</xdr:colOff>
      <xdr:row>13</xdr:row>
      <xdr:rowOff>45000</xdr:rowOff>
    </xdr:from>
    <xdr:to>
      <xdr:col>8</xdr:col>
      <xdr:colOff>760155</xdr:colOff>
      <xdr:row>14</xdr:row>
      <xdr:rowOff>56160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SpPr/>
      </xdr:nvSpPr>
      <xdr:spPr>
        <a:xfrm>
          <a:off x="8084160" y="3616560"/>
          <a:ext cx="11160" cy="201960"/>
        </a:xfrm>
        <a:prstGeom prst="line">
          <a:avLst/>
        </a:prstGeom>
        <a:ln>
          <a:solidFill>
            <a:srgbClr val="4A7EBB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absolute">
    <xdr:from>
      <xdr:col>9</xdr:col>
      <xdr:colOff>103680</xdr:colOff>
      <xdr:row>11</xdr:row>
      <xdr:rowOff>239040</xdr:rowOff>
    </xdr:from>
    <xdr:to>
      <xdr:col>9</xdr:col>
      <xdr:colOff>103680</xdr:colOff>
      <xdr:row>13</xdr:row>
      <xdr:rowOff>10800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SpPr/>
      </xdr:nvSpPr>
      <xdr:spPr>
        <a:xfrm>
          <a:off x="8235360" y="2982240"/>
          <a:ext cx="0" cy="600120"/>
        </a:xfrm>
        <a:prstGeom prst="line">
          <a:avLst/>
        </a:prstGeom>
        <a:ln>
          <a:solidFill>
            <a:srgbClr val="4A7EBB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absolute">
    <xdr:from>
      <xdr:col>9</xdr:col>
      <xdr:colOff>102960</xdr:colOff>
      <xdr:row>9</xdr:row>
      <xdr:rowOff>187920</xdr:rowOff>
    </xdr:from>
    <xdr:to>
      <xdr:col>9</xdr:col>
      <xdr:colOff>103320</xdr:colOff>
      <xdr:row>10</xdr:row>
      <xdr:rowOff>370800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SpPr/>
      </xdr:nvSpPr>
      <xdr:spPr>
        <a:xfrm>
          <a:off x="8234640" y="2235600"/>
          <a:ext cx="360" cy="383040"/>
        </a:xfrm>
        <a:prstGeom prst="line">
          <a:avLst/>
        </a:prstGeom>
        <a:ln>
          <a:solidFill>
            <a:srgbClr val="4A7EBB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absolute">
    <xdr:from>
      <xdr:col>9</xdr:col>
      <xdr:colOff>6120</xdr:colOff>
      <xdr:row>13</xdr:row>
      <xdr:rowOff>7200</xdr:rowOff>
    </xdr:from>
    <xdr:to>
      <xdr:col>9</xdr:col>
      <xdr:colOff>195120</xdr:colOff>
      <xdr:row>13</xdr:row>
      <xdr:rowOff>7560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SpPr/>
      </xdr:nvSpPr>
      <xdr:spPr>
        <a:xfrm>
          <a:off x="8137800" y="3578760"/>
          <a:ext cx="189000" cy="360"/>
        </a:xfrm>
        <a:prstGeom prst="line">
          <a:avLst/>
        </a:prstGeom>
        <a:ln>
          <a:solidFill>
            <a:srgbClr val="4A7EBB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absolute">
    <xdr:from>
      <xdr:col>9</xdr:col>
      <xdr:colOff>0</xdr:colOff>
      <xdr:row>9</xdr:row>
      <xdr:rowOff>187920</xdr:rowOff>
    </xdr:from>
    <xdr:to>
      <xdr:col>9</xdr:col>
      <xdr:colOff>188640</xdr:colOff>
      <xdr:row>9</xdr:row>
      <xdr:rowOff>188280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SpPr/>
      </xdr:nvSpPr>
      <xdr:spPr>
        <a:xfrm>
          <a:off x="8131680" y="2235600"/>
          <a:ext cx="188640" cy="360"/>
        </a:xfrm>
        <a:prstGeom prst="line">
          <a:avLst/>
        </a:prstGeom>
        <a:ln>
          <a:solidFill>
            <a:srgbClr val="4A7EBB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16</xdr:col>
      <xdr:colOff>302400</xdr:colOff>
      <xdr:row>12</xdr:row>
      <xdr:rowOff>224280</xdr:rowOff>
    </xdr:from>
    <xdr:to>
      <xdr:col>20</xdr:col>
      <xdr:colOff>218880</xdr:colOff>
      <xdr:row>17</xdr:row>
      <xdr:rowOff>129960</xdr:rowOff>
    </xdr:to>
    <xdr:pic>
      <xdr:nvPicPr>
        <xdr:cNvPr id="13" name="Picture 9"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PicPr/>
      </xdr:nvPicPr>
      <xdr:blipFill>
        <a:blip xmlns:r="http://schemas.openxmlformats.org/officeDocument/2006/relationships" r:embed="rId1"/>
        <a:srcRect l="2206" r="2206"/>
        <a:stretch/>
      </xdr:blipFill>
      <xdr:spPr>
        <a:xfrm>
          <a:off x="13907160" y="3462480"/>
          <a:ext cx="3342960" cy="1001160"/>
        </a:xfrm>
        <a:prstGeom prst="rect">
          <a:avLst/>
        </a:prstGeom>
        <a:ln w="9360"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9</xdr:col>
      <xdr:colOff>56880</xdr:colOff>
      <xdr:row>10</xdr:row>
      <xdr:rowOff>442080</xdr:rowOff>
    </xdr:from>
    <xdr:to>
      <xdr:col>9</xdr:col>
      <xdr:colOff>511200</xdr:colOff>
      <xdr:row>11</xdr:row>
      <xdr:rowOff>173880</xdr:rowOff>
    </xdr:to>
    <xdr:sp macro="" textlink="">
      <xdr:nvSpPr>
        <xdr:cNvPr id="42" name="CustomShape 1">
          <a:extLst>
            <a:ext uri="{FF2B5EF4-FFF2-40B4-BE49-F238E27FC236}">
              <a16:creationId xmlns:a16="http://schemas.microsoft.com/office/drawing/2014/main" id="{00000000-0008-0000-0D00-00002A000000}"/>
            </a:ext>
          </a:extLst>
        </xdr:cNvPr>
        <xdr:cNvSpPr/>
      </xdr:nvSpPr>
      <xdr:spPr>
        <a:xfrm>
          <a:off x="8511840" y="2689920"/>
          <a:ext cx="454320" cy="227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>
          <a:noAutofit/>
        </a:bodyPr>
        <a:lstStyle/>
        <a:p>
          <a:pPr>
            <a:lnSpc>
              <a:spcPct val="100000"/>
            </a:lnSpc>
          </a:pPr>
          <a:r>
            <a:rPr lang="es-CO" sz="1100" b="0" strike="noStrike" spc="-1">
              <a:solidFill>
                <a:srgbClr val="000000"/>
              </a:solidFill>
              <a:latin typeface="Calibri"/>
            </a:rPr>
            <a:t>Ft</a:t>
          </a:r>
          <a:endParaRPr lang="es-CO" sz="1100" b="0" strike="noStrike" spc="-1">
            <a:latin typeface="Times New Roman"/>
          </a:endParaRPr>
        </a:p>
      </xdr:txBody>
    </xdr:sp>
    <xdr:clientData/>
  </xdr:twoCellAnchor>
  <xdr:twoCellAnchor editAs="absolute">
    <xdr:from>
      <xdr:col>9</xdr:col>
      <xdr:colOff>55440</xdr:colOff>
      <xdr:row>10</xdr:row>
      <xdr:rowOff>272520</xdr:rowOff>
    </xdr:from>
    <xdr:to>
      <xdr:col>9</xdr:col>
      <xdr:colOff>509760</xdr:colOff>
      <xdr:row>11</xdr:row>
      <xdr:rowOff>5760</xdr:rowOff>
    </xdr:to>
    <xdr:sp macro="" textlink="">
      <xdr:nvSpPr>
        <xdr:cNvPr id="43" name="CustomShape 1">
          <a:extLst>
            <a:ext uri="{FF2B5EF4-FFF2-40B4-BE49-F238E27FC236}">
              <a16:creationId xmlns:a16="http://schemas.microsoft.com/office/drawing/2014/main" id="{00000000-0008-0000-0D00-00002B000000}"/>
            </a:ext>
          </a:extLst>
        </xdr:cNvPr>
        <xdr:cNvSpPr/>
      </xdr:nvSpPr>
      <xdr:spPr>
        <a:xfrm>
          <a:off x="8510400" y="2520360"/>
          <a:ext cx="454320" cy="2286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>
          <a:noAutofit/>
        </a:bodyPr>
        <a:lstStyle/>
        <a:p>
          <a:pPr>
            <a:lnSpc>
              <a:spcPct val="100000"/>
            </a:lnSpc>
          </a:pPr>
          <a:r>
            <a:rPr lang="es-CO" sz="1100" b="0" strike="noStrike" spc="-1">
              <a:solidFill>
                <a:srgbClr val="000000"/>
              </a:solidFill>
              <a:latin typeface="Calibri"/>
            </a:rPr>
            <a:t>m</a:t>
          </a:r>
          <a:endParaRPr lang="es-CO" sz="1100" b="0" strike="noStrike" spc="-1">
            <a:latin typeface="Times New Roman"/>
          </a:endParaRPr>
        </a:p>
      </xdr:txBody>
    </xdr:sp>
    <xdr:clientData/>
  </xdr:twoCellAnchor>
  <xdr:twoCellAnchor editAs="absolute">
    <xdr:from>
      <xdr:col>6</xdr:col>
      <xdr:colOff>761040</xdr:colOff>
      <xdr:row>13</xdr:row>
      <xdr:rowOff>134280</xdr:rowOff>
    </xdr:from>
    <xdr:to>
      <xdr:col>7</xdr:col>
      <xdr:colOff>562320</xdr:colOff>
      <xdr:row>13</xdr:row>
      <xdr:rowOff>134640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00000000-0008-0000-0D00-00002C000000}"/>
            </a:ext>
          </a:extLst>
        </xdr:cNvPr>
        <xdr:cNvSpPr/>
      </xdr:nvSpPr>
      <xdr:spPr>
        <a:xfrm>
          <a:off x="6526080" y="3705840"/>
          <a:ext cx="677520" cy="360"/>
        </a:xfrm>
        <a:prstGeom prst="line">
          <a:avLst/>
        </a:prstGeom>
        <a:ln>
          <a:solidFill>
            <a:srgbClr val="4A7EBB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absolute">
    <xdr:from>
      <xdr:col>8</xdr:col>
      <xdr:colOff>30600</xdr:colOff>
      <xdr:row>13</xdr:row>
      <xdr:rowOff>134280</xdr:rowOff>
    </xdr:from>
    <xdr:to>
      <xdr:col>8</xdr:col>
      <xdr:colOff>708120</xdr:colOff>
      <xdr:row>13</xdr:row>
      <xdr:rowOff>134640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00000000-0008-0000-0D00-00002D000000}"/>
            </a:ext>
          </a:extLst>
        </xdr:cNvPr>
        <xdr:cNvSpPr/>
      </xdr:nvSpPr>
      <xdr:spPr>
        <a:xfrm>
          <a:off x="7679520" y="3705840"/>
          <a:ext cx="677520" cy="360"/>
        </a:xfrm>
        <a:prstGeom prst="line">
          <a:avLst/>
        </a:prstGeom>
        <a:ln>
          <a:solidFill>
            <a:srgbClr val="4A7EBB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absolute">
    <xdr:from>
      <xdr:col>6</xdr:col>
      <xdr:colOff>769680</xdr:colOff>
      <xdr:row>13</xdr:row>
      <xdr:rowOff>43200</xdr:rowOff>
    </xdr:from>
    <xdr:to>
      <xdr:col>6</xdr:col>
      <xdr:colOff>770040</xdr:colOff>
      <xdr:row>14</xdr:row>
      <xdr:rowOff>43920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00000000-0008-0000-0D00-00002E000000}"/>
            </a:ext>
          </a:extLst>
        </xdr:cNvPr>
        <xdr:cNvSpPr/>
      </xdr:nvSpPr>
      <xdr:spPr>
        <a:xfrm>
          <a:off x="6534720" y="3614760"/>
          <a:ext cx="360" cy="191520"/>
        </a:xfrm>
        <a:prstGeom prst="line">
          <a:avLst/>
        </a:prstGeom>
        <a:ln>
          <a:solidFill>
            <a:srgbClr val="4A7EBB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absolute">
    <xdr:from>
      <xdr:col>8</xdr:col>
      <xdr:colOff>708120</xdr:colOff>
      <xdr:row>13</xdr:row>
      <xdr:rowOff>45000</xdr:rowOff>
    </xdr:from>
    <xdr:to>
      <xdr:col>8</xdr:col>
      <xdr:colOff>720360</xdr:colOff>
      <xdr:row>14</xdr:row>
      <xdr:rowOff>56160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00000000-0008-0000-0D00-00002F000000}"/>
            </a:ext>
          </a:extLst>
        </xdr:cNvPr>
        <xdr:cNvSpPr/>
      </xdr:nvSpPr>
      <xdr:spPr>
        <a:xfrm>
          <a:off x="8357040" y="3616560"/>
          <a:ext cx="12240" cy="201960"/>
        </a:xfrm>
        <a:prstGeom prst="line">
          <a:avLst/>
        </a:prstGeom>
        <a:ln>
          <a:solidFill>
            <a:srgbClr val="4A7EBB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absolute">
    <xdr:from>
      <xdr:col>9</xdr:col>
      <xdr:colOff>66960</xdr:colOff>
      <xdr:row>11</xdr:row>
      <xdr:rowOff>239040</xdr:rowOff>
    </xdr:from>
    <xdr:to>
      <xdr:col>9</xdr:col>
      <xdr:colOff>66960</xdr:colOff>
      <xdr:row>13</xdr:row>
      <xdr:rowOff>10800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00000000-0008-0000-0D00-000030000000}"/>
            </a:ext>
          </a:extLst>
        </xdr:cNvPr>
        <xdr:cNvSpPr/>
      </xdr:nvSpPr>
      <xdr:spPr>
        <a:xfrm>
          <a:off x="8521920" y="2982240"/>
          <a:ext cx="0" cy="600120"/>
        </a:xfrm>
        <a:prstGeom prst="line">
          <a:avLst/>
        </a:prstGeom>
        <a:ln>
          <a:solidFill>
            <a:srgbClr val="4A7EBB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absolute">
    <xdr:from>
      <xdr:col>9</xdr:col>
      <xdr:colOff>66240</xdr:colOff>
      <xdr:row>9</xdr:row>
      <xdr:rowOff>187920</xdr:rowOff>
    </xdr:from>
    <xdr:to>
      <xdr:col>9</xdr:col>
      <xdr:colOff>66600</xdr:colOff>
      <xdr:row>10</xdr:row>
      <xdr:rowOff>370800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00000000-0008-0000-0D00-000031000000}"/>
            </a:ext>
          </a:extLst>
        </xdr:cNvPr>
        <xdr:cNvSpPr/>
      </xdr:nvSpPr>
      <xdr:spPr>
        <a:xfrm>
          <a:off x="8521200" y="2235600"/>
          <a:ext cx="360" cy="383040"/>
        </a:xfrm>
        <a:prstGeom prst="line">
          <a:avLst/>
        </a:prstGeom>
        <a:ln>
          <a:solidFill>
            <a:srgbClr val="4A7EBB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absolute">
    <xdr:from>
      <xdr:col>8</xdr:col>
      <xdr:colOff>757275</xdr:colOff>
      <xdr:row>13</xdr:row>
      <xdr:rowOff>7200</xdr:rowOff>
    </xdr:from>
    <xdr:to>
      <xdr:col>9</xdr:col>
      <xdr:colOff>166320</xdr:colOff>
      <xdr:row>13</xdr:row>
      <xdr:rowOff>7560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00000000-0008-0000-0D00-000032000000}"/>
            </a:ext>
          </a:extLst>
        </xdr:cNvPr>
        <xdr:cNvSpPr/>
      </xdr:nvSpPr>
      <xdr:spPr>
        <a:xfrm>
          <a:off x="8415720" y="3578760"/>
          <a:ext cx="205560" cy="360"/>
        </a:xfrm>
        <a:prstGeom prst="line">
          <a:avLst/>
        </a:prstGeom>
        <a:ln>
          <a:solidFill>
            <a:srgbClr val="4A7EBB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absolute">
    <xdr:from>
      <xdr:col>8</xdr:col>
      <xdr:colOff>759960</xdr:colOff>
      <xdr:row>9</xdr:row>
      <xdr:rowOff>187920</xdr:rowOff>
    </xdr:from>
    <xdr:to>
      <xdr:col>9</xdr:col>
      <xdr:colOff>159480</xdr:colOff>
      <xdr:row>9</xdr:row>
      <xdr:rowOff>188280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00000000-0008-0000-0D00-000033000000}"/>
            </a:ext>
          </a:extLst>
        </xdr:cNvPr>
        <xdr:cNvSpPr/>
      </xdr:nvSpPr>
      <xdr:spPr>
        <a:xfrm>
          <a:off x="8408880" y="2235600"/>
          <a:ext cx="205560" cy="360"/>
        </a:xfrm>
        <a:prstGeom prst="line">
          <a:avLst/>
        </a:prstGeom>
        <a:ln>
          <a:solidFill>
            <a:srgbClr val="4A7EBB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8</xdr:col>
      <xdr:colOff>198720</xdr:colOff>
      <xdr:row>8</xdr:row>
      <xdr:rowOff>130680</xdr:rowOff>
    </xdr:from>
    <xdr:to>
      <xdr:col>8</xdr:col>
      <xdr:colOff>446400</xdr:colOff>
      <xdr:row>8</xdr:row>
      <xdr:rowOff>132480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00000000-0008-0000-0D00-000034000000}"/>
            </a:ext>
          </a:extLst>
        </xdr:cNvPr>
        <xdr:cNvSpPr/>
      </xdr:nvSpPr>
      <xdr:spPr>
        <a:xfrm>
          <a:off x="7847640" y="1987920"/>
          <a:ext cx="247680" cy="1800"/>
        </a:xfrm>
        <a:prstGeom prst="line">
          <a:avLst/>
        </a:prstGeom>
        <a:ln w="3240">
          <a:solidFill>
            <a:srgbClr val="FFFFFF"/>
          </a:solidFill>
          <a:round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absolute">
    <xdr:from>
      <xdr:col>8</xdr:col>
      <xdr:colOff>472320</xdr:colOff>
      <xdr:row>8</xdr:row>
      <xdr:rowOff>117000</xdr:rowOff>
    </xdr:from>
    <xdr:to>
      <xdr:col>8</xdr:col>
      <xdr:colOff>568080</xdr:colOff>
      <xdr:row>8</xdr:row>
      <xdr:rowOff>124560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00000000-0008-0000-0D00-000035000000}"/>
            </a:ext>
          </a:extLst>
        </xdr:cNvPr>
        <xdr:cNvSpPr/>
      </xdr:nvSpPr>
      <xdr:spPr>
        <a:xfrm flipV="1">
          <a:off x="8121240" y="1974240"/>
          <a:ext cx="95760" cy="7560"/>
        </a:xfrm>
        <a:prstGeom prst="line">
          <a:avLst/>
        </a:prstGeom>
        <a:ln w="3240">
          <a:solidFill>
            <a:srgbClr val="FFFFFF"/>
          </a:solidFill>
          <a:round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absolute">
    <xdr:from>
      <xdr:col>8</xdr:col>
      <xdr:colOff>540360</xdr:colOff>
      <xdr:row>9</xdr:row>
      <xdr:rowOff>78840</xdr:rowOff>
    </xdr:from>
    <xdr:to>
      <xdr:col>8</xdr:col>
      <xdr:colOff>736200</xdr:colOff>
      <xdr:row>9</xdr:row>
      <xdr:rowOff>84600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00000000-0008-0000-0D00-000036000000}"/>
            </a:ext>
          </a:extLst>
        </xdr:cNvPr>
        <xdr:cNvSpPr/>
      </xdr:nvSpPr>
      <xdr:spPr>
        <a:xfrm flipV="1">
          <a:off x="8189280" y="2126520"/>
          <a:ext cx="195840" cy="5760"/>
        </a:xfrm>
        <a:prstGeom prst="line">
          <a:avLst/>
        </a:prstGeom>
        <a:ln w="3240">
          <a:solidFill>
            <a:srgbClr val="FFFFFF"/>
          </a:solidFill>
          <a:round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absolute">
    <xdr:from>
      <xdr:col>7</xdr:col>
      <xdr:colOff>293760</xdr:colOff>
      <xdr:row>8</xdr:row>
      <xdr:rowOff>120960</xdr:rowOff>
    </xdr:from>
    <xdr:to>
      <xdr:col>7</xdr:col>
      <xdr:colOff>693360</xdr:colOff>
      <xdr:row>8</xdr:row>
      <xdr:rowOff>123480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00000000-0008-0000-0D00-000037000000}"/>
            </a:ext>
          </a:extLst>
        </xdr:cNvPr>
        <xdr:cNvSpPr/>
      </xdr:nvSpPr>
      <xdr:spPr>
        <a:xfrm>
          <a:off x="6935040" y="1978200"/>
          <a:ext cx="399600" cy="2520"/>
        </a:xfrm>
        <a:prstGeom prst="line">
          <a:avLst/>
        </a:prstGeom>
        <a:ln w="3240">
          <a:solidFill>
            <a:srgbClr val="FFFFFF"/>
          </a:solidFill>
          <a:round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absolute">
    <xdr:from>
      <xdr:col>7</xdr:col>
      <xdr:colOff>3240</xdr:colOff>
      <xdr:row>7</xdr:row>
      <xdr:rowOff>165240</xdr:rowOff>
    </xdr:from>
    <xdr:to>
      <xdr:col>8</xdr:col>
      <xdr:colOff>757695</xdr:colOff>
      <xdr:row>10</xdr:row>
      <xdr:rowOff>494640</xdr:rowOff>
    </xdr:to>
    <xdr:sp macro="" textlink="">
      <xdr:nvSpPr>
        <xdr:cNvPr id="56" name="CustomShape 1">
          <a:extLst>
            <a:ext uri="{FF2B5EF4-FFF2-40B4-BE49-F238E27FC236}">
              <a16:creationId xmlns:a16="http://schemas.microsoft.com/office/drawing/2014/main" id="{00000000-0008-0000-0D00-000038000000}"/>
            </a:ext>
          </a:extLst>
        </xdr:cNvPr>
        <xdr:cNvSpPr/>
      </xdr:nvSpPr>
      <xdr:spPr>
        <a:xfrm>
          <a:off x="6644520" y="1822320"/>
          <a:ext cx="1809720" cy="920160"/>
        </a:xfrm>
        <a:prstGeom prst="arc">
          <a:avLst>
            <a:gd name="adj1" fmla="val 10835513"/>
            <a:gd name="adj2" fmla="val 21585942"/>
          </a:avLst>
        </a:prstGeom>
        <a:noFill/>
        <a:ln w="3240">
          <a:solidFill>
            <a:srgbClr val="FFFFFF"/>
          </a:solidFill>
          <a:round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absolute">
    <xdr:from>
      <xdr:col>7</xdr:col>
      <xdr:colOff>231840</xdr:colOff>
      <xdr:row>8</xdr:row>
      <xdr:rowOff>118080</xdr:rowOff>
    </xdr:from>
    <xdr:to>
      <xdr:col>7</xdr:col>
      <xdr:colOff>293760</xdr:colOff>
      <xdr:row>8</xdr:row>
      <xdr:rowOff>120960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00000000-0008-0000-0D00-000039000000}"/>
            </a:ext>
          </a:extLst>
        </xdr:cNvPr>
        <xdr:cNvSpPr/>
      </xdr:nvSpPr>
      <xdr:spPr>
        <a:xfrm flipH="1" flipV="1">
          <a:off x="6873120" y="1975320"/>
          <a:ext cx="61920" cy="2880"/>
        </a:xfrm>
        <a:prstGeom prst="line">
          <a:avLst/>
        </a:prstGeom>
        <a:ln w="3240">
          <a:solidFill>
            <a:srgbClr val="FFFFFF"/>
          </a:solidFill>
          <a:round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absolute">
    <xdr:from>
      <xdr:col>7</xdr:col>
      <xdr:colOff>55080</xdr:colOff>
      <xdr:row>9</xdr:row>
      <xdr:rowOff>79560</xdr:rowOff>
    </xdr:from>
    <xdr:to>
      <xdr:col>7</xdr:col>
      <xdr:colOff>229320</xdr:colOff>
      <xdr:row>9</xdr:row>
      <xdr:rowOff>82080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00000000-0008-0000-0D00-00003A000000}"/>
            </a:ext>
          </a:extLst>
        </xdr:cNvPr>
        <xdr:cNvSpPr/>
      </xdr:nvSpPr>
      <xdr:spPr>
        <a:xfrm flipH="1" flipV="1">
          <a:off x="6696360" y="2127240"/>
          <a:ext cx="174240" cy="2520"/>
        </a:xfrm>
        <a:prstGeom prst="line">
          <a:avLst/>
        </a:prstGeom>
        <a:ln w="3240">
          <a:solidFill>
            <a:srgbClr val="FFFFFF"/>
          </a:solidFill>
          <a:round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absolute">
    <xdr:from>
      <xdr:col>7</xdr:col>
      <xdr:colOff>820800</xdr:colOff>
      <xdr:row>9</xdr:row>
      <xdr:rowOff>80280</xdr:rowOff>
    </xdr:from>
    <xdr:to>
      <xdr:col>7</xdr:col>
      <xdr:colOff>948600</xdr:colOff>
      <xdr:row>10</xdr:row>
      <xdr:rowOff>33120</xdr:rowOff>
    </xdr:to>
    <xdr:sp macro="" textlink="">
      <xdr:nvSpPr>
        <xdr:cNvPr id="59" name="CustomShape 1">
          <a:extLst>
            <a:ext uri="{FF2B5EF4-FFF2-40B4-BE49-F238E27FC236}">
              <a16:creationId xmlns:a16="http://schemas.microsoft.com/office/drawing/2014/main" id="{00000000-0008-0000-0D00-00003B000000}"/>
            </a:ext>
          </a:extLst>
        </xdr:cNvPr>
        <xdr:cNvSpPr/>
      </xdr:nvSpPr>
      <xdr:spPr>
        <a:xfrm>
          <a:off x="7462080" y="2127960"/>
          <a:ext cx="127800" cy="153000"/>
        </a:xfrm>
        <a:prstGeom prst="triangle">
          <a:avLst>
            <a:gd name="adj" fmla="val 50000"/>
          </a:avLst>
        </a:prstGeom>
        <a:noFill/>
        <a:ln w="3240">
          <a:solidFill>
            <a:srgbClr val="FFFFFF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absolute">
    <xdr:from>
      <xdr:col>8</xdr:col>
      <xdr:colOff>2940</xdr:colOff>
      <xdr:row>9</xdr:row>
      <xdr:rowOff>79920</xdr:rowOff>
    </xdr:from>
    <xdr:to>
      <xdr:col>8</xdr:col>
      <xdr:colOff>75600</xdr:colOff>
      <xdr:row>10</xdr:row>
      <xdr:rowOff>31320</xdr:rowOff>
    </xdr:to>
    <xdr:sp macro="" textlink="">
      <xdr:nvSpPr>
        <xdr:cNvPr id="60" name="CustomShape 1">
          <a:extLst>
            <a:ext uri="{FF2B5EF4-FFF2-40B4-BE49-F238E27FC236}">
              <a16:creationId xmlns:a16="http://schemas.microsoft.com/office/drawing/2014/main" id="{00000000-0008-0000-0D00-00003C000000}"/>
            </a:ext>
          </a:extLst>
        </xdr:cNvPr>
        <xdr:cNvSpPr/>
      </xdr:nvSpPr>
      <xdr:spPr>
        <a:xfrm>
          <a:off x="7596720" y="2127600"/>
          <a:ext cx="127800" cy="151560"/>
        </a:xfrm>
        <a:prstGeom prst="triangle">
          <a:avLst>
            <a:gd name="adj" fmla="val 50000"/>
          </a:avLst>
        </a:prstGeom>
        <a:noFill/>
        <a:ln w="3240">
          <a:solidFill>
            <a:srgbClr val="FFFFFF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absolute">
    <xdr:from>
      <xdr:col>8</xdr:col>
      <xdr:colOff>77760</xdr:colOff>
      <xdr:row>9</xdr:row>
      <xdr:rowOff>80280</xdr:rowOff>
    </xdr:from>
    <xdr:to>
      <xdr:col>8</xdr:col>
      <xdr:colOff>205560</xdr:colOff>
      <xdr:row>10</xdr:row>
      <xdr:rowOff>33120</xdr:rowOff>
    </xdr:to>
    <xdr:sp macro="" textlink="">
      <xdr:nvSpPr>
        <xdr:cNvPr id="61" name="CustomShape 1">
          <a:extLst>
            <a:ext uri="{FF2B5EF4-FFF2-40B4-BE49-F238E27FC236}">
              <a16:creationId xmlns:a16="http://schemas.microsoft.com/office/drawing/2014/main" id="{00000000-0008-0000-0D00-00003D000000}"/>
            </a:ext>
          </a:extLst>
        </xdr:cNvPr>
        <xdr:cNvSpPr/>
      </xdr:nvSpPr>
      <xdr:spPr>
        <a:xfrm>
          <a:off x="7726680" y="2127960"/>
          <a:ext cx="127800" cy="153000"/>
        </a:xfrm>
        <a:prstGeom prst="triangle">
          <a:avLst>
            <a:gd name="adj" fmla="val 50000"/>
          </a:avLst>
        </a:prstGeom>
        <a:noFill/>
        <a:ln w="3240">
          <a:solidFill>
            <a:srgbClr val="FFFFFF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absolute">
    <xdr:from>
      <xdr:col>8</xdr:col>
      <xdr:colOff>212040</xdr:colOff>
      <xdr:row>9</xdr:row>
      <xdr:rowOff>81720</xdr:rowOff>
    </xdr:from>
    <xdr:to>
      <xdr:col>8</xdr:col>
      <xdr:colOff>339840</xdr:colOff>
      <xdr:row>10</xdr:row>
      <xdr:rowOff>33120</xdr:rowOff>
    </xdr:to>
    <xdr:sp macro="" textlink="">
      <xdr:nvSpPr>
        <xdr:cNvPr id="62" name="CustomShape 1">
          <a:extLst>
            <a:ext uri="{FF2B5EF4-FFF2-40B4-BE49-F238E27FC236}">
              <a16:creationId xmlns:a16="http://schemas.microsoft.com/office/drawing/2014/main" id="{00000000-0008-0000-0D00-00003E000000}"/>
            </a:ext>
          </a:extLst>
        </xdr:cNvPr>
        <xdr:cNvSpPr/>
      </xdr:nvSpPr>
      <xdr:spPr>
        <a:xfrm>
          <a:off x="7860960" y="2129400"/>
          <a:ext cx="127800" cy="151560"/>
        </a:xfrm>
        <a:prstGeom prst="triangle">
          <a:avLst>
            <a:gd name="adj" fmla="val 50000"/>
          </a:avLst>
        </a:prstGeom>
        <a:noFill/>
        <a:ln w="3240">
          <a:solidFill>
            <a:srgbClr val="FFFFFF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absolute">
    <xdr:from>
      <xdr:col>7</xdr:col>
      <xdr:colOff>294840</xdr:colOff>
      <xdr:row>9</xdr:row>
      <xdr:rowOff>81720</xdr:rowOff>
    </xdr:from>
    <xdr:to>
      <xdr:col>7</xdr:col>
      <xdr:colOff>422640</xdr:colOff>
      <xdr:row>10</xdr:row>
      <xdr:rowOff>33120</xdr:rowOff>
    </xdr:to>
    <xdr:sp macro="" textlink="">
      <xdr:nvSpPr>
        <xdr:cNvPr id="63" name="CustomShape 1">
          <a:extLst>
            <a:ext uri="{FF2B5EF4-FFF2-40B4-BE49-F238E27FC236}">
              <a16:creationId xmlns:a16="http://schemas.microsoft.com/office/drawing/2014/main" id="{00000000-0008-0000-0D00-00003F000000}"/>
            </a:ext>
          </a:extLst>
        </xdr:cNvPr>
        <xdr:cNvSpPr/>
      </xdr:nvSpPr>
      <xdr:spPr>
        <a:xfrm>
          <a:off x="6936120" y="2129400"/>
          <a:ext cx="127800" cy="151560"/>
        </a:xfrm>
        <a:prstGeom prst="triangle">
          <a:avLst>
            <a:gd name="adj" fmla="val 50000"/>
          </a:avLst>
        </a:prstGeom>
        <a:noFill/>
        <a:ln w="3240">
          <a:solidFill>
            <a:srgbClr val="FFFFFF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absolute">
    <xdr:from>
      <xdr:col>7</xdr:col>
      <xdr:colOff>429120</xdr:colOff>
      <xdr:row>9</xdr:row>
      <xdr:rowOff>79200</xdr:rowOff>
    </xdr:from>
    <xdr:to>
      <xdr:col>7</xdr:col>
      <xdr:colOff>556920</xdr:colOff>
      <xdr:row>10</xdr:row>
      <xdr:rowOff>32040</xdr:rowOff>
    </xdr:to>
    <xdr:sp macro="" textlink="">
      <xdr:nvSpPr>
        <xdr:cNvPr id="64" name="CustomShape 1">
          <a:extLst>
            <a:ext uri="{FF2B5EF4-FFF2-40B4-BE49-F238E27FC236}">
              <a16:creationId xmlns:a16="http://schemas.microsoft.com/office/drawing/2014/main" id="{00000000-0008-0000-0D00-000040000000}"/>
            </a:ext>
          </a:extLst>
        </xdr:cNvPr>
        <xdr:cNvSpPr/>
      </xdr:nvSpPr>
      <xdr:spPr>
        <a:xfrm>
          <a:off x="7070400" y="2126880"/>
          <a:ext cx="127800" cy="153000"/>
        </a:xfrm>
        <a:prstGeom prst="triangle">
          <a:avLst>
            <a:gd name="adj" fmla="val 50000"/>
          </a:avLst>
        </a:prstGeom>
        <a:noFill/>
        <a:ln w="3240">
          <a:solidFill>
            <a:srgbClr val="FFFFFF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absolute">
    <xdr:from>
      <xdr:col>7</xdr:col>
      <xdr:colOff>559080</xdr:colOff>
      <xdr:row>9</xdr:row>
      <xdr:rowOff>81000</xdr:rowOff>
    </xdr:from>
    <xdr:to>
      <xdr:col>7</xdr:col>
      <xdr:colOff>686880</xdr:colOff>
      <xdr:row>10</xdr:row>
      <xdr:rowOff>32400</xdr:rowOff>
    </xdr:to>
    <xdr:sp macro="" textlink="">
      <xdr:nvSpPr>
        <xdr:cNvPr id="65" name="CustomShape 1">
          <a:extLst>
            <a:ext uri="{FF2B5EF4-FFF2-40B4-BE49-F238E27FC236}">
              <a16:creationId xmlns:a16="http://schemas.microsoft.com/office/drawing/2014/main" id="{00000000-0008-0000-0D00-000041000000}"/>
            </a:ext>
          </a:extLst>
        </xdr:cNvPr>
        <xdr:cNvSpPr/>
      </xdr:nvSpPr>
      <xdr:spPr>
        <a:xfrm>
          <a:off x="7200360" y="2128680"/>
          <a:ext cx="127800" cy="151560"/>
        </a:xfrm>
        <a:prstGeom prst="triangle">
          <a:avLst>
            <a:gd name="adj" fmla="val 50000"/>
          </a:avLst>
        </a:prstGeom>
        <a:noFill/>
        <a:ln w="3240">
          <a:solidFill>
            <a:srgbClr val="FFFFFF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absolute">
    <xdr:from>
      <xdr:col>7</xdr:col>
      <xdr:colOff>693360</xdr:colOff>
      <xdr:row>9</xdr:row>
      <xdr:rowOff>79920</xdr:rowOff>
    </xdr:from>
    <xdr:to>
      <xdr:col>7</xdr:col>
      <xdr:colOff>821160</xdr:colOff>
      <xdr:row>10</xdr:row>
      <xdr:rowOff>31320</xdr:rowOff>
    </xdr:to>
    <xdr:sp macro="" textlink="">
      <xdr:nvSpPr>
        <xdr:cNvPr id="66" name="CustomShape 1">
          <a:extLst>
            <a:ext uri="{FF2B5EF4-FFF2-40B4-BE49-F238E27FC236}">
              <a16:creationId xmlns:a16="http://schemas.microsoft.com/office/drawing/2014/main" id="{00000000-0008-0000-0D00-000042000000}"/>
            </a:ext>
          </a:extLst>
        </xdr:cNvPr>
        <xdr:cNvSpPr/>
      </xdr:nvSpPr>
      <xdr:spPr>
        <a:xfrm>
          <a:off x="7334640" y="2127600"/>
          <a:ext cx="127800" cy="151560"/>
        </a:xfrm>
        <a:prstGeom prst="triangle">
          <a:avLst>
            <a:gd name="adj" fmla="val 50000"/>
          </a:avLst>
        </a:prstGeom>
        <a:noFill/>
        <a:ln w="3240">
          <a:solidFill>
            <a:srgbClr val="FFFFFF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absolute">
    <xdr:from>
      <xdr:col>7</xdr:col>
      <xdr:colOff>888480</xdr:colOff>
      <xdr:row>8</xdr:row>
      <xdr:rowOff>124560</xdr:rowOff>
    </xdr:from>
    <xdr:to>
      <xdr:col>8</xdr:col>
      <xdr:colOff>8640</xdr:colOff>
      <xdr:row>9</xdr:row>
      <xdr:rowOff>87120</xdr:rowOff>
    </xdr:to>
    <xdr:sp macro="" textlink="">
      <xdr:nvSpPr>
        <xdr:cNvPr id="67" name="CustomShape 1">
          <a:extLst>
            <a:ext uri="{FF2B5EF4-FFF2-40B4-BE49-F238E27FC236}">
              <a16:creationId xmlns:a16="http://schemas.microsoft.com/office/drawing/2014/main" id="{00000000-0008-0000-0D00-000043000000}"/>
            </a:ext>
          </a:extLst>
        </xdr:cNvPr>
        <xdr:cNvSpPr/>
      </xdr:nvSpPr>
      <xdr:spPr>
        <a:xfrm>
          <a:off x="7529760" y="1981800"/>
          <a:ext cx="127800" cy="153000"/>
        </a:xfrm>
        <a:prstGeom prst="triangle">
          <a:avLst>
            <a:gd name="adj" fmla="val 50000"/>
          </a:avLst>
        </a:prstGeom>
        <a:noFill/>
        <a:ln w="3240">
          <a:solidFill>
            <a:srgbClr val="FFFFFF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absolute">
    <xdr:from>
      <xdr:col>8</xdr:col>
      <xdr:colOff>15120</xdr:colOff>
      <xdr:row>8</xdr:row>
      <xdr:rowOff>126000</xdr:rowOff>
    </xdr:from>
    <xdr:to>
      <xdr:col>8</xdr:col>
      <xdr:colOff>142920</xdr:colOff>
      <xdr:row>9</xdr:row>
      <xdr:rowOff>87120</xdr:rowOff>
    </xdr:to>
    <xdr:sp macro="" textlink="">
      <xdr:nvSpPr>
        <xdr:cNvPr id="68" name="CustomShape 1">
          <a:extLst>
            <a:ext uri="{FF2B5EF4-FFF2-40B4-BE49-F238E27FC236}">
              <a16:creationId xmlns:a16="http://schemas.microsoft.com/office/drawing/2014/main" id="{00000000-0008-0000-0D00-000044000000}"/>
            </a:ext>
          </a:extLst>
        </xdr:cNvPr>
        <xdr:cNvSpPr/>
      </xdr:nvSpPr>
      <xdr:spPr>
        <a:xfrm>
          <a:off x="7664040" y="1983240"/>
          <a:ext cx="127800" cy="151560"/>
        </a:xfrm>
        <a:prstGeom prst="triangle">
          <a:avLst>
            <a:gd name="adj" fmla="val 50000"/>
          </a:avLst>
        </a:prstGeom>
        <a:noFill/>
        <a:ln w="3240">
          <a:solidFill>
            <a:srgbClr val="FFFFFF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absolute">
    <xdr:from>
      <xdr:col>8</xdr:col>
      <xdr:colOff>145440</xdr:colOff>
      <xdr:row>8</xdr:row>
      <xdr:rowOff>123480</xdr:rowOff>
    </xdr:from>
    <xdr:to>
      <xdr:col>8</xdr:col>
      <xdr:colOff>273240</xdr:colOff>
      <xdr:row>9</xdr:row>
      <xdr:rowOff>86040</xdr:rowOff>
    </xdr:to>
    <xdr:sp macro="" textlink="">
      <xdr:nvSpPr>
        <xdr:cNvPr id="69" name="CustomShape 1">
          <a:extLst>
            <a:ext uri="{FF2B5EF4-FFF2-40B4-BE49-F238E27FC236}">
              <a16:creationId xmlns:a16="http://schemas.microsoft.com/office/drawing/2014/main" id="{00000000-0008-0000-0D00-000045000000}"/>
            </a:ext>
          </a:extLst>
        </xdr:cNvPr>
        <xdr:cNvSpPr/>
      </xdr:nvSpPr>
      <xdr:spPr>
        <a:xfrm>
          <a:off x="7794360" y="1980720"/>
          <a:ext cx="127800" cy="153000"/>
        </a:xfrm>
        <a:prstGeom prst="triangle">
          <a:avLst>
            <a:gd name="adj" fmla="val 50000"/>
          </a:avLst>
        </a:prstGeom>
        <a:noFill/>
        <a:ln w="3240">
          <a:solidFill>
            <a:srgbClr val="FFFFFF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absolute">
    <xdr:from>
      <xdr:col>8</xdr:col>
      <xdr:colOff>279720</xdr:colOff>
      <xdr:row>8</xdr:row>
      <xdr:rowOff>125280</xdr:rowOff>
    </xdr:from>
    <xdr:to>
      <xdr:col>8</xdr:col>
      <xdr:colOff>407520</xdr:colOff>
      <xdr:row>9</xdr:row>
      <xdr:rowOff>86400</xdr:rowOff>
    </xdr:to>
    <xdr:sp macro="" textlink="">
      <xdr:nvSpPr>
        <xdr:cNvPr id="70" name="CustomShape 1">
          <a:extLst>
            <a:ext uri="{FF2B5EF4-FFF2-40B4-BE49-F238E27FC236}">
              <a16:creationId xmlns:a16="http://schemas.microsoft.com/office/drawing/2014/main" id="{00000000-0008-0000-0D00-000046000000}"/>
            </a:ext>
          </a:extLst>
        </xdr:cNvPr>
        <xdr:cNvSpPr/>
      </xdr:nvSpPr>
      <xdr:spPr>
        <a:xfrm>
          <a:off x="7928640" y="1982520"/>
          <a:ext cx="127800" cy="151560"/>
        </a:xfrm>
        <a:prstGeom prst="triangle">
          <a:avLst>
            <a:gd name="adj" fmla="val 50000"/>
          </a:avLst>
        </a:prstGeom>
        <a:noFill/>
        <a:ln w="3240">
          <a:solidFill>
            <a:srgbClr val="FFFFFF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absolute">
    <xdr:from>
      <xdr:col>7</xdr:col>
      <xdr:colOff>362160</xdr:colOff>
      <xdr:row>8</xdr:row>
      <xdr:rowOff>125280</xdr:rowOff>
    </xdr:from>
    <xdr:to>
      <xdr:col>7</xdr:col>
      <xdr:colOff>489960</xdr:colOff>
      <xdr:row>9</xdr:row>
      <xdr:rowOff>86400</xdr:rowOff>
    </xdr:to>
    <xdr:sp macro="" textlink="">
      <xdr:nvSpPr>
        <xdr:cNvPr id="71" name="CustomShape 1">
          <a:extLst>
            <a:ext uri="{FF2B5EF4-FFF2-40B4-BE49-F238E27FC236}">
              <a16:creationId xmlns:a16="http://schemas.microsoft.com/office/drawing/2014/main" id="{00000000-0008-0000-0D00-000047000000}"/>
            </a:ext>
          </a:extLst>
        </xdr:cNvPr>
        <xdr:cNvSpPr/>
      </xdr:nvSpPr>
      <xdr:spPr>
        <a:xfrm>
          <a:off x="7003440" y="1982520"/>
          <a:ext cx="127800" cy="151560"/>
        </a:xfrm>
        <a:prstGeom prst="triangle">
          <a:avLst>
            <a:gd name="adj" fmla="val 50000"/>
          </a:avLst>
        </a:prstGeom>
        <a:noFill/>
        <a:ln w="3240">
          <a:solidFill>
            <a:srgbClr val="FFFFFF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absolute">
    <xdr:from>
      <xdr:col>7</xdr:col>
      <xdr:colOff>496440</xdr:colOff>
      <xdr:row>8</xdr:row>
      <xdr:rowOff>122760</xdr:rowOff>
    </xdr:from>
    <xdr:to>
      <xdr:col>7</xdr:col>
      <xdr:colOff>624240</xdr:colOff>
      <xdr:row>9</xdr:row>
      <xdr:rowOff>85320</xdr:rowOff>
    </xdr:to>
    <xdr:sp macro="" textlink="">
      <xdr:nvSpPr>
        <xdr:cNvPr id="72" name="CustomShape 1">
          <a:extLst>
            <a:ext uri="{FF2B5EF4-FFF2-40B4-BE49-F238E27FC236}">
              <a16:creationId xmlns:a16="http://schemas.microsoft.com/office/drawing/2014/main" id="{00000000-0008-0000-0D00-000048000000}"/>
            </a:ext>
          </a:extLst>
        </xdr:cNvPr>
        <xdr:cNvSpPr/>
      </xdr:nvSpPr>
      <xdr:spPr>
        <a:xfrm>
          <a:off x="7137720" y="1980000"/>
          <a:ext cx="127800" cy="153000"/>
        </a:xfrm>
        <a:prstGeom prst="triangle">
          <a:avLst>
            <a:gd name="adj" fmla="val 50000"/>
          </a:avLst>
        </a:prstGeom>
        <a:noFill/>
        <a:ln w="3240">
          <a:solidFill>
            <a:srgbClr val="FFFFFF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absolute">
    <xdr:from>
      <xdr:col>7</xdr:col>
      <xdr:colOff>626760</xdr:colOff>
      <xdr:row>8</xdr:row>
      <xdr:rowOff>124560</xdr:rowOff>
    </xdr:from>
    <xdr:to>
      <xdr:col>7</xdr:col>
      <xdr:colOff>754560</xdr:colOff>
      <xdr:row>9</xdr:row>
      <xdr:rowOff>85680</xdr:rowOff>
    </xdr:to>
    <xdr:sp macro="" textlink="">
      <xdr:nvSpPr>
        <xdr:cNvPr id="73" name="CustomShape 1">
          <a:extLst>
            <a:ext uri="{FF2B5EF4-FFF2-40B4-BE49-F238E27FC236}">
              <a16:creationId xmlns:a16="http://schemas.microsoft.com/office/drawing/2014/main" id="{00000000-0008-0000-0D00-000049000000}"/>
            </a:ext>
          </a:extLst>
        </xdr:cNvPr>
        <xdr:cNvSpPr/>
      </xdr:nvSpPr>
      <xdr:spPr>
        <a:xfrm>
          <a:off x="7268040" y="1981800"/>
          <a:ext cx="127800" cy="151560"/>
        </a:xfrm>
        <a:prstGeom prst="triangle">
          <a:avLst>
            <a:gd name="adj" fmla="val 50000"/>
          </a:avLst>
        </a:prstGeom>
        <a:noFill/>
        <a:ln w="3240">
          <a:solidFill>
            <a:srgbClr val="FFFFFF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absolute">
    <xdr:from>
      <xdr:col>7</xdr:col>
      <xdr:colOff>761040</xdr:colOff>
      <xdr:row>8</xdr:row>
      <xdr:rowOff>126000</xdr:rowOff>
    </xdr:from>
    <xdr:to>
      <xdr:col>7</xdr:col>
      <xdr:colOff>888840</xdr:colOff>
      <xdr:row>9</xdr:row>
      <xdr:rowOff>87120</xdr:rowOff>
    </xdr:to>
    <xdr:sp macro="" textlink="">
      <xdr:nvSpPr>
        <xdr:cNvPr id="74" name="CustomShape 1">
          <a:extLst>
            <a:ext uri="{FF2B5EF4-FFF2-40B4-BE49-F238E27FC236}">
              <a16:creationId xmlns:a16="http://schemas.microsoft.com/office/drawing/2014/main" id="{00000000-0008-0000-0D00-00004A000000}"/>
            </a:ext>
          </a:extLst>
        </xdr:cNvPr>
        <xdr:cNvSpPr/>
      </xdr:nvSpPr>
      <xdr:spPr>
        <a:xfrm>
          <a:off x="7402320" y="1983240"/>
          <a:ext cx="127800" cy="151560"/>
        </a:xfrm>
        <a:prstGeom prst="triangle">
          <a:avLst>
            <a:gd name="adj" fmla="val 50000"/>
          </a:avLst>
        </a:prstGeom>
        <a:noFill/>
        <a:ln w="3240">
          <a:solidFill>
            <a:srgbClr val="FFFFFF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absolute">
    <xdr:from>
      <xdr:col>8</xdr:col>
      <xdr:colOff>342000</xdr:colOff>
      <xdr:row>9</xdr:row>
      <xdr:rowOff>81720</xdr:rowOff>
    </xdr:from>
    <xdr:to>
      <xdr:col>8</xdr:col>
      <xdr:colOff>469800</xdr:colOff>
      <xdr:row>10</xdr:row>
      <xdr:rowOff>33120</xdr:rowOff>
    </xdr:to>
    <xdr:sp macro="" textlink="">
      <xdr:nvSpPr>
        <xdr:cNvPr id="75" name="CustomShape 1">
          <a:extLst>
            <a:ext uri="{FF2B5EF4-FFF2-40B4-BE49-F238E27FC236}">
              <a16:creationId xmlns:a16="http://schemas.microsoft.com/office/drawing/2014/main" id="{00000000-0008-0000-0D00-00004B000000}"/>
            </a:ext>
          </a:extLst>
        </xdr:cNvPr>
        <xdr:cNvSpPr/>
      </xdr:nvSpPr>
      <xdr:spPr>
        <a:xfrm>
          <a:off x="7990920" y="2129400"/>
          <a:ext cx="127800" cy="151560"/>
        </a:xfrm>
        <a:prstGeom prst="triangle">
          <a:avLst>
            <a:gd name="adj" fmla="val 50000"/>
          </a:avLst>
        </a:prstGeom>
        <a:noFill/>
        <a:ln w="3240">
          <a:solidFill>
            <a:srgbClr val="FFFFFF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absolute">
    <xdr:from>
      <xdr:col>8</xdr:col>
      <xdr:colOff>471960</xdr:colOff>
      <xdr:row>9</xdr:row>
      <xdr:rowOff>79920</xdr:rowOff>
    </xdr:from>
    <xdr:to>
      <xdr:col>8</xdr:col>
      <xdr:colOff>599760</xdr:colOff>
      <xdr:row>10</xdr:row>
      <xdr:rowOff>33480</xdr:rowOff>
    </xdr:to>
    <xdr:sp macro="" textlink="">
      <xdr:nvSpPr>
        <xdr:cNvPr id="76" name="CustomShape 1">
          <a:extLst>
            <a:ext uri="{FF2B5EF4-FFF2-40B4-BE49-F238E27FC236}">
              <a16:creationId xmlns:a16="http://schemas.microsoft.com/office/drawing/2014/main" id="{00000000-0008-0000-0D00-00004C000000}"/>
            </a:ext>
          </a:extLst>
        </xdr:cNvPr>
        <xdr:cNvSpPr/>
      </xdr:nvSpPr>
      <xdr:spPr>
        <a:xfrm>
          <a:off x="8120880" y="2127600"/>
          <a:ext cx="127800" cy="153720"/>
        </a:xfrm>
        <a:prstGeom prst="triangle">
          <a:avLst>
            <a:gd name="adj" fmla="val 50000"/>
          </a:avLst>
        </a:prstGeom>
        <a:noFill/>
        <a:ln w="3240">
          <a:solidFill>
            <a:srgbClr val="FFFFFF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absolute">
    <xdr:from>
      <xdr:col>8</xdr:col>
      <xdr:colOff>606600</xdr:colOff>
      <xdr:row>9</xdr:row>
      <xdr:rowOff>78840</xdr:rowOff>
    </xdr:from>
    <xdr:to>
      <xdr:col>8</xdr:col>
      <xdr:colOff>734400</xdr:colOff>
      <xdr:row>10</xdr:row>
      <xdr:rowOff>30960</xdr:rowOff>
    </xdr:to>
    <xdr:sp macro="" textlink="">
      <xdr:nvSpPr>
        <xdr:cNvPr id="77" name="CustomShape 1">
          <a:extLst>
            <a:ext uri="{FF2B5EF4-FFF2-40B4-BE49-F238E27FC236}">
              <a16:creationId xmlns:a16="http://schemas.microsoft.com/office/drawing/2014/main" id="{00000000-0008-0000-0D00-00004D000000}"/>
            </a:ext>
          </a:extLst>
        </xdr:cNvPr>
        <xdr:cNvSpPr/>
      </xdr:nvSpPr>
      <xdr:spPr>
        <a:xfrm>
          <a:off x="8255520" y="2126520"/>
          <a:ext cx="127800" cy="152280"/>
        </a:xfrm>
        <a:prstGeom prst="triangle">
          <a:avLst>
            <a:gd name="adj" fmla="val 50000"/>
          </a:avLst>
        </a:prstGeom>
        <a:noFill/>
        <a:ln w="3240">
          <a:solidFill>
            <a:srgbClr val="FFFFFF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absolute">
    <xdr:from>
      <xdr:col>7</xdr:col>
      <xdr:colOff>167040</xdr:colOff>
      <xdr:row>9</xdr:row>
      <xdr:rowOff>82800</xdr:rowOff>
    </xdr:from>
    <xdr:to>
      <xdr:col>7</xdr:col>
      <xdr:colOff>294840</xdr:colOff>
      <xdr:row>10</xdr:row>
      <xdr:rowOff>33480</xdr:rowOff>
    </xdr:to>
    <xdr:sp macro="" textlink="">
      <xdr:nvSpPr>
        <xdr:cNvPr id="78" name="CustomShape 1">
          <a:extLst>
            <a:ext uri="{FF2B5EF4-FFF2-40B4-BE49-F238E27FC236}">
              <a16:creationId xmlns:a16="http://schemas.microsoft.com/office/drawing/2014/main" id="{00000000-0008-0000-0D00-00004E000000}"/>
            </a:ext>
          </a:extLst>
        </xdr:cNvPr>
        <xdr:cNvSpPr/>
      </xdr:nvSpPr>
      <xdr:spPr>
        <a:xfrm>
          <a:off x="6808320" y="2130480"/>
          <a:ext cx="127800" cy="150840"/>
        </a:xfrm>
        <a:prstGeom prst="triangle">
          <a:avLst>
            <a:gd name="adj" fmla="val 50000"/>
          </a:avLst>
        </a:prstGeom>
        <a:noFill/>
        <a:ln w="3240">
          <a:solidFill>
            <a:srgbClr val="FFFFFF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absolute">
    <xdr:from>
      <xdr:col>7</xdr:col>
      <xdr:colOff>37800</xdr:colOff>
      <xdr:row>9</xdr:row>
      <xdr:rowOff>82800</xdr:rowOff>
    </xdr:from>
    <xdr:to>
      <xdr:col>7</xdr:col>
      <xdr:colOff>165600</xdr:colOff>
      <xdr:row>10</xdr:row>
      <xdr:rowOff>33480</xdr:rowOff>
    </xdr:to>
    <xdr:sp macro="" textlink="">
      <xdr:nvSpPr>
        <xdr:cNvPr id="79" name="CustomShape 1">
          <a:extLst>
            <a:ext uri="{FF2B5EF4-FFF2-40B4-BE49-F238E27FC236}">
              <a16:creationId xmlns:a16="http://schemas.microsoft.com/office/drawing/2014/main" id="{00000000-0008-0000-0D00-00004F000000}"/>
            </a:ext>
          </a:extLst>
        </xdr:cNvPr>
        <xdr:cNvSpPr/>
      </xdr:nvSpPr>
      <xdr:spPr>
        <a:xfrm>
          <a:off x="6679080" y="2130480"/>
          <a:ext cx="127800" cy="150840"/>
        </a:xfrm>
        <a:prstGeom prst="triangle">
          <a:avLst>
            <a:gd name="adj" fmla="val 50000"/>
          </a:avLst>
        </a:prstGeom>
        <a:noFill/>
        <a:ln w="3240">
          <a:solidFill>
            <a:srgbClr val="FFFFFF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absolute">
    <xdr:from>
      <xdr:col>7</xdr:col>
      <xdr:colOff>229680</xdr:colOff>
      <xdr:row>8</xdr:row>
      <xdr:rowOff>121320</xdr:rowOff>
    </xdr:from>
    <xdr:to>
      <xdr:col>7</xdr:col>
      <xdr:colOff>357480</xdr:colOff>
      <xdr:row>9</xdr:row>
      <xdr:rowOff>81720</xdr:rowOff>
    </xdr:to>
    <xdr:sp macro="" textlink="">
      <xdr:nvSpPr>
        <xdr:cNvPr id="80" name="CustomShape 1">
          <a:extLst>
            <a:ext uri="{FF2B5EF4-FFF2-40B4-BE49-F238E27FC236}">
              <a16:creationId xmlns:a16="http://schemas.microsoft.com/office/drawing/2014/main" id="{00000000-0008-0000-0D00-000050000000}"/>
            </a:ext>
          </a:extLst>
        </xdr:cNvPr>
        <xdr:cNvSpPr/>
      </xdr:nvSpPr>
      <xdr:spPr>
        <a:xfrm>
          <a:off x="6870960" y="1978560"/>
          <a:ext cx="127800" cy="150840"/>
        </a:xfrm>
        <a:prstGeom prst="triangle">
          <a:avLst>
            <a:gd name="adj" fmla="val 50000"/>
          </a:avLst>
        </a:prstGeom>
        <a:noFill/>
        <a:ln w="3240">
          <a:solidFill>
            <a:srgbClr val="FFFFFF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absolute">
    <xdr:from>
      <xdr:col>8</xdr:col>
      <xdr:colOff>408240</xdr:colOff>
      <xdr:row>8</xdr:row>
      <xdr:rowOff>124560</xdr:rowOff>
    </xdr:from>
    <xdr:to>
      <xdr:col>8</xdr:col>
      <xdr:colOff>536040</xdr:colOff>
      <xdr:row>9</xdr:row>
      <xdr:rowOff>84960</xdr:rowOff>
    </xdr:to>
    <xdr:sp macro="" textlink="">
      <xdr:nvSpPr>
        <xdr:cNvPr id="81" name="CustomShape 1">
          <a:extLst>
            <a:ext uri="{FF2B5EF4-FFF2-40B4-BE49-F238E27FC236}">
              <a16:creationId xmlns:a16="http://schemas.microsoft.com/office/drawing/2014/main" id="{00000000-0008-0000-0D00-000051000000}"/>
            </a:ext>
          </a:extLst>
        </xdr:cNvPr>
        <xdr:cNvSpPr/>
      </xdr:nvSpPr>
      <xdr:spPr>
        <a:xfrm>
          <a:off x="8057160" y="1981800"/>
          <a:ext cx="127800" cy="150840"/>
        </a:xfrm>
        <a:prstGeom prst="triangle">
          <a:avLst>
            <a:gd name="adj" fmla="val 50000"/>
          </a:avLst>
        </a:prstGeom>
        <a:noFill/>
        <a:ln w="3240">
          <a:solidFill>
            <a:srgbClr val="FFFFFF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absolute">
    <xdr:from>
      <xdr:col>7</xdr:col>
      <xdr:colOff>693720</xdr:colOff>
      <xdr:row>7</xdr:row>
      <xdr:rowOff>172440</xdr:rowOff>
    </xdr:from>
    <xdr:to>
      <xdr:col>7</xdr:col>
      <xdr:colOff>821520</xdr:colOff>
      <xdr:row>8</xdr:row>
      <xdr:rowOff>123120</xdr:rowOff>
    </xdr:to>
    <xdr:sp macro="" textlink="">
      <xdr:nvSpPr>
        <xdr:cNvPr id="82" name="CustomShape 1">
          <a:extLst>
            <a:ext uri="{FF2B5EF4-FFF2-40B4-BE49-F238E27FC236}">
              <a16:creationId xmlns:a16="http://schemas.microsoft.com/office/drawing/2014/main" id="{00000000-0008-0000-0D00-000052000000}"/>
            </a:ext>
          </a:extLst>
        </xdr:cNvPr>
        <xdr:cNvSpPr/>
      </xdr:nvSpPr>
      <xdr:spPr>
        <a:xfrm>
          <a:off x="7335000" y="1829520"/>
          <a:ext cx="127800" cy="150840"/>
        </a:xfrm>
        <a:prstGeom prst="triangle">
          <a:avLst>
            <a:gd name="adj" fmla="val 50000"/>
          </a:avLst>
        </a:prstGeom>
        <a:noFill/>
        <a:ln w="3240">
          <a:solidFill>
            <a:srgbClr val="FFFFFF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absolute">
    <xdr:from>
      <xdr:col>7</xdr:col>
      <xdr:colOff>822960</xdr:colOff>
      <xdr:row>7</xdr:row>
      <xdr:rowOff>172440</xdr:rowOff>
    </xdr:from>
    <xdr:to>
      <xdr:col>7</xdr:col>
      <xdr:colOff>950760</xdr:colOff>
      <xdr:row>8</xdr:row>
      <xdr:rowOff>123120</xdr:rowOff>
    </xdr:to>
    <xdr:sp macro="" textlink="">
      <xdr:nvSpPr>
        <xdr:cNvPr id="83" name="CustomShape 1">
          <a:extLst>
            <a:ext uri="{FF2B5EF4-FFF2-40B4-BE49-F238E27FC236}">
              <a16:creationId xmlns:a16="http://schemas.microsoft.com/office/drawing/2014/main" id="{00000000-0008-0000-0D00-000053000000}"/>
            </a:ext>
          </a:extLst>
        </xdr:cNvPr>
        <xdr:cNvSpPr/>
      </xdr:nvSpPr>
      <xdr:spPr>
        <a:xfrm>
          <a:off x="7464240" y="1829520"/>
          <a:ext cx="127800" cy="150840"/>
        </a:xfrm>
        <a:prstGeom prst="triangle">
          <a:avLst>
            <a:gd name="adj" fmla="val 50000"/>
          </a:avLst>
        </a:prstGeom>
        <a:noFill/>
        <a:ln w="3240">
          <a:solidFill>
            <a:srgbClr val="FFFFFF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absolute">
    <xdr:from>
      <xdr:col>7</xdr:col>
      <xdr:colOff>951840</xdr:colOff>
      <xdr:row>7</xdr:row>
      <xdr:rowOff>175680</xdr:rowOff>
    </xdr:from>
    <xdr:to>
      <xdr:col>8</xdr:col>
      <xdr:colOff>72000</xdr:colOff>
      <xdr:row>8</xdr:row>
      <xdr:rowOff>126360</xdr:rowOff>
    </xdr:to>
    <xdr:sp macro="" textlink="">
      <xdr:nvSpPr>
        <xdr:cNvPr id="84" name="CustomShape 1">
          <a:extLst>
            <a:ext uri="{FF2B5EF4-FFF2-40B4-BE49-F238E27FC236}">
              <a16:creationId xmlns:a16="http://schemas.microsoft.com/office/drawing/2014/main" id="{00000000-0008-0000-0D00-000054000000}"/>
            </a:ext>
          </a:extLst>
        </xdr:cNvPr>
        <xdr:cNvSpPr/>
      </xdr:nvSpPr>
      <xdr:spPr>
        <a:xfrm>
          <a:off x="7593120" y="1832760"/>
          <a:ext cx="127800" cy="150840"/>
        </a:xfrm>
        <a:prstGeom prst="triangle">
          <a:avLst>
            <a:gd name="adj" fmla="val 50000"/>
          </a:avLst>
        </a:prstGeom>
        <a:noFill/>
        <a:ln w="3240">
          <a:solidFill>
            <a:srgbClr val="FFFFFF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absolute">
    <xdr:from>
      <xdr:col>8</xdr:col>
      <xdr:colOff>76680</xdr:colOff>
      <xdr:row>7</xdr:row>
      <xdr:rowOff>175680</xdr:rowOff>
    </xdr:from>
    <xdr:to>
      <xdr:col>8</xdr:col>
      <xdr:colOff>204480</xdr:colOff>
      <xdr:row>8</xdr:row>
      <xdr:rowOff>126360</xdr:rowOff>
    </xdr:to>
    <xdr:sp macro="" textlink="">
      <xdr:nvSpPr>
        <xdr:cNvPr id="85" name="CustomShape 1">
          <a:extLst>
            <a:ext uri="{FF2B5EF4-FFF2-40B4-BE49-F238E27FC236}">
              <a16:creationId xmlns:a16="http://schemas.microsoft.com/office/drawing/2014/main" id="{00000000-0008-0000-0D00-000055000000}"/>
            </a:ext>
          </a:extLst>
        </xdr:cNvPr>
        <xdr:cNvSpPr/>
      </xdr:nvSpPr>
      <xdr:spPr>
        <a:xfrm>
          <a:off x="7725600" y="1832760"/>
          <a:ext cx="127800" cy="150840"/>
        </a:xfrm>
        <a:prstGeom prst="triangle">
          <a:avLst>
            <a:gd name="adj" fmla="val 50000"/>
          </a:avLst>
        </a:prstGeom>
        <a:noFill/>
        <a:ln w="3240">
          <a:solidFill>
            <a:srgbClr val="FFFFFF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absolute">
    <xdr:from>
      <xdr:col>8</xdr:col>
      <xdr:colOff>734760</xdr:colOff>
      <xdr:row>9</xdr:row>
      <xdr:rowOff>90360</xdr:rowOff>
    </xdr:from>
    <xdr:to>
      <xdr:col>9</xdr:col>
      <xdr:colOff>1920</xdr:colOff>
      <xdr:row>10</xdr:row>
      <xdr:rowOff>31680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00000000-0008-0000-0D00-000056000000}"/>
            </a:ext>
          </a:extLst>
        </xdr:cNvPr>
        <xdr:cNvSpPr/>
      </xdr:nvSpPr>
      <xdr:spPr>
        <a:xfrm flipV="1">
          <a:off x="8383680" y="2138040"/>
          <a:ext cx="29160" cy="141480"/>
        </a:xfrm>
        <a:prstGeom prst="line">
          <a:avLst/>
        </a:prstGeom>
        <a:ln w="3240">
          <a:solidFill>
            <a:srgbClr val="FFFFFF"/>
          </a:solidFill>
          <a:round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absolute">
    <xdr:from>
      <xdr:col>7</xdr:col>
      <xdr:colOff>30600</xdr:colOff>
      <xdr:row>9</xdr:row>
      <xdr:rowOff>123480</xdr:rowOff>
    </xdr:from>
    <xdr:to>
      <xdr:col>7</xdr:col>
      <xdr:colOff>37440</xdr:colOff>
      <xdr:row>10</xdr:row>
      <xdr:rowOff>33840</xdr:rowOff>
    </xdr:to>
    <xdr:sp macro="" textlink="">
      <xdr:nvSpPr>
        <xdr:cNvPr id="87" name="Line 1">
          <a:extLst>
            <a:ext uri="{FF2B5EF4-FFF2-40B4-BE49-F238E27FC236}">
              <a16:creationId xmlns:a16="http://schemas.microsoft.com/office/drawing/2014/main" id="{00000000-0008-0000-0D00-000057000000}"/>
            </a:ext>
          </a:extLst>
        </xdr:cNvPr>
        <xdr:cNvSpPr/>
      </xdr:nvSpPr>
      <xdr:spPr>
        <a:xfrm flipH="1" flipV="1">
          <a:off x="6671880" y="2171160"/>
          <a:ext cx="6840" cy="110520"/>
        </a:xfrm>
        <a:prstGeom prst="line">
          <a:avLst/>
        </a:prstGeom>
        <a:ln w="3240">
          <a:solidFill>
            <a:srgbClr val="FFFFFF"/>
          </a:solidFill>
          <a:round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absolute">
    <xdr:from>
      <xdr:col>7</xdr:col>
      <xdr:colOff>191880</xdr:colOff>
      <xdr:row>8</xdr:row>
      <xdr:rowOff>145440</xdr:rowOff>
    </xdr:from>
    <xdr:to>
      <xdr:col>7</xdr:col>
      <xdr:colOff>229320</xdr:colOff>
      <xdr:row>9</xdr:row>
      <xdr:rowOff>82080</xdr:rowOff>
    </xdr:to>
    <xdr:sp macro="" textlink="">
      <xdr:nvSpPr>
        <xdr:cNvPr id="88" name="Line 1">
          <a:extLst>
            <a:ext uri="{FF2B5EF4-FFF2-40B4-BE49-F238E27FC236}">
              <a16:creationId xmlns:a16="http://schemas.microsoft.com/office/drawing/2014/main" id="{00000000-0008-0000-0D00-000058000000}"/>
            </a:ext>
          </a:extLst>
        </xdr:cNvPr>
        <xdr:cNvSpPr/>
      </xdr:nvSpPr>
      <xdr:spPr>
        <a:xfrm flipH="1" flipV="1">
          <a:off x="6833160" y="2002680"/>
          <a:ext cx="37440" cy="127080"/>
        </a:xfrm>
        <a:prstGeom prst="line">
          <a:avLst/>
        </a:prstGeom>
        <a:ln w="3240">
          <a:solidFill>
            <a:srgbClr val="FFFFFF"/>
          </a:solidFill>
          <a:round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absolute">
    <xdr:from>
      <xdr:col>7</xdr:col>
      <xdr:colOff>101880</xdr:colOff>
      <xdr:row>8</xdr:row>
      <xdr:rowOff>170280</xdr:rowOff>
    </xdr:from>
    <xdr:to>
      <xdr:col>7</xdr:col>
      <xdr:colOff>152280</xdr:colOff>
      <xdr:row>9</xdr:row>
      <xdr:rowOff>82440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00000000-0008-0000-0D00-000059000000}"/>
            </a:ext>
          </a:extLst>
        </xdr:cNvPr>
        <xdr:cNvSpPr/>
      </xdr:nvSpPr>
      <xdr:spPr>
        <a:xfrm flipV="1">
          <a:off x="6743160" y="2027520"/>
          <a:ext cx="50400" cy="102600"/>
        </a:xfrm>
        <a:prstGeom prst="line">
          <a:avLst/>
        </a:prstGeom>
        <a:ln w="3240">
          <a:solidFill>
            <a:srgbClr val="FFFFFF"/>
          </a:solidFill>
          <a:round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absolute">
    <xdr:from>
      <xdr:col>7</xdr:col>
      <xdr:colOff>642600</xdr:colOff>
      <xdr:row>7</xdr:row>
      <xdr:rowOff>186120</xdr:rowOff>
    </xdr:from>
    <xdr:to>
      <xdr:col>7</xdr:col>
      <xdr:colOff>693360</xdr:colOff>
      <xdr:row>8</xdr:row>
      <xdr:rowOff>123480</xdr:rowOff>
    </xdr:to>
    <xdr:sp macro="" textlink="">
      <xdr:nvSpPr>
        <xdr:cNvPr id="90" name="Line 1">
          <a:extLst>
            <a:ext uri="{FF2B5EF4-FFF2-40B4-BE49-F238E27FC236}">
              <a16:creationId xmlns:a16="http://schemas.microsoft.com/office/drawing/2014/main" id="{00000000-0008-0000-0D00-00005A000000}"/>
            </a:ext>
          </a:extLst>
        </xdr:cNvPr>
        <xdr:cNvSpPr/>
      </xdr:nvSpPr>
      <xdr:spPr>
        <a:xfrm flipH="1" flipV="1">
          <a:off x="7283880" y="1843200"/>
          <a:ext cx="50760" cy="137520"/>
        </a:xfrm>
        <a:prstGeom prst="line">
          <a:avLst/>
        </a:prstGeom>
        <a:ln w="3240">
          <a:solidFill>
            <a:srgbClr val="FFFFFF"/>
          </a:solidFill>
          <a:round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absolute">
    <xdr:from>
      <xdr:col>7</xdr:col>
      <xdr:colOff>560520</xdr:colOff>
      <xdr:row>7</xdr:row>
      <xdr:rowOff>188640</xdr:rowOff>
    </xdr:from>
    <xdr:to>
      <xdr:col>7</xdr:col>
      <xdr:colOff>622800</xdr:colOff>
      <xdr:row>8</xdr:row>
      <xdr:rowOff>122400</xdr:rowOff>
    </xdr:to>
    <xdr:sp macro="" textlink="">
      <xdr:nvSpPr>
        <xdr:cNvPr id="91" name="Line 1">
          <a:extLst>
            <a:ext uri="{FF2B5EF4-FFF2-40B4-BE49-F238E27FC236}">
              <a16:creationId xmlns:a16="http://schemas.microsoft.com/office/drawing/2014/main" id="{00000000-0008-0000-0D00-00005B000000}"/>
            </a:ext>
          </a:extLst>
        </xdr:cNvPr>
        <xdr:cNvSpPr/>
      </xdr:nvSpPr>
      <xdr:spPr>
        <a:xfrm flipV="1">
          <a:off x="7201800" y="1845720"/>
          <a:ext cx="62280" cy="133920"/>
        </a:xfrm>
        <a:prstGeom prst="line">
          <a:avLst/>
        </a:prstGeom>
        <a:ln w="3240">
          <a:solidFill>
            <a:srgbClr val="FFFFFF"/>
          </a:solidFill>
          <a:round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absolute">
    <xdr:from>
      <xdr:col>7</xdr:col>
      <xdr:colOff>526320</xdr:colOff>
      <xdr:row>8</xdr:row>
      <xdr:rowOff>13320</xdr:rowOff>
    </xdr:from>
    <xdr:to>
      <xdr:col>7</xdr:col>
      <xdr:colOff>560520</xdr:colOff>
      <xdr:row>8</xdr:row>
      <xdr:rowOff>122400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00000000-0008-0000-0D00-00005C000000}"/>
            </a:ext>
          </a:extLst>
        </xdr:cNvPr>
        <xdr:cNvSpPr/>
      </xdr:nvSpPr>
      <xdr:spPr>
        <a:xfrm flipH="1" flipV="1">
          <a:off x="7167600" y="1870560"/>
          <a:ext cx="34200" cy="109080"/>
        </a:xfrm>
        <a:prstGeom prst="line">
          <a:avLst/>
        </a:prstGeom>
        <a:ln w="3240">
          <a:solidFill>
            <a:srgbClr val="FFFFFF"/>
          </a:solidFill>
          <a:round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absolute">
    <xdr:from>
      <xdr:col>7</xdr:col>
      <xdr:colOff>426240</xdr:colOff>
      <xdr:row>8</xdr:row>
      <xdr:rowOff>18720</xdr:rowOff>
    </xdr:from>
    <xdr:to>
      <xdr:col>7</xdr:col>
      <xdr:colOff>475560</xdr:colOff>
      <xdr:row>8</xdr:row>
      <xdr:rowOff>124920</xdr:rowOff>
    </xdr:to>
    <xdr:sp macro="" textlink="">
      <xdr:nvSpPr>
        <xdr:cNvPr id="93" name="Line 1">
          <a:extLst>
            <a:ext uri="{FF2B5EF4-FFF2-40B4-BE49-F238E27FC236}">
              <a16:creationId xmlns:a16="http://schemas.microsoft.com/office/drawing/2014/main" id="{00000000-0008-0000-0D00-00005D000000}"/>
            </a:ext>
          </a:extLst>
        </xdr:cNvPr>
        <xdr:cNvSpPr/>
      </xdr:nvSpPr>
      <xdr:spPr>
        <a:xfrm flipV="1">
          <a:off x="7067520" y="1875960"/>
          <a:ext cx="49320" cy="106200"/>
        </a:xfrm>
        <a:prstGeom prst="line">
          <a:avLst/>
        </a:prstGeom>
        <a:ln w="3240">
          <a:solidFill>
            <a:srgbClr val="FFFFFF"/>
          </a:solidFill>
          <a:round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absolute">
    <xdr:from>
      <xdr:col>7</xdr:col>
      <xdr:colOff>398880</xdr:colOff>
      <xdr:row>8</xdr:row>
      <xdr:rowOff>41040</xdr:rowOff>
    </xdr:from>
    <xdr:to>
      <xdr:col>7</xdr:col>
      <xdr:colOff>426240</xdr:colOff>
      <xdr:row>8</xdr:row>
      <xdr:rowOff>124920</xdr:rowOff>
    </xdr:to>
    <xdr:sp macro="" textlink="">
      <xdr:nvSpPr>
        <xdr:cNvPr id="94" name="Line 1">
          <a:extLst>
            <a:ext uri="{FF2B5EF4-FFF2-40B4-BE49-F238E27FC236}">
              <a16:creationId xmlns:a16="http://schemas.microsoft.com/office/drawing/2014/main" id="{00000000-0008-0000-0D00-00005E000000}"/>
            </a:ext>
          </a:extLst>
        </xdr:cNvPr>
        <xdr:cNvSpPr/>
      </xdr:nvSpPr>
      <xdr:spPr>
        <a:xfrm flipH="1" flipV="1">
          <a:off x="7040160" y="1898280"/>
          <a:ext cx="27360" cy="83880"/>
        </a:xfrm>
        <a:prstGeom prst="line">
          <a:avLst/>
        </a:prstGeom>
        <a:ln w="3240">
          <a:solidFill>
            <a:srgbClr val="FFFFFF"/>
          </a:solidFill>
          <a:round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absolute">
    <xdr:from>
      <xdr:col>7</xdr:col>
      <xdr:colOff>293760</xdr:colOff>
      <xdr:row>8</xdr:row>
      <xdr:rowOff>71280</xdr:rowOff>
    </xdr:from>
    <xdr:to>
      <xdr:col>7</xdr:col>
      <xdr:colOff>325080</xdr:colOff>
      <xdr:row>8</xdr:row>
      <xdr:rowOff>120960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00000000-0008-0000-0D00-00005F000000}"/>
            </a:ext>
          </a:extLst>
        </xdr:cNvPr>
        <xdr:cNvSpPr/>
      </xdr:nvSpPr>
      <xdr:spPr>
        <a:xfrm flipV="1">
          <a:off x="6935040" y="1928520"/>
          <a:ext cx="31320" cy="49680"/>
        </a:xfrm>
        <a:prstGeom prst="line">
          <a:avLst/>
        </a:prstGeom>
        <a:ln w="3240">
          <a:solidFill>
            <a:srgbClr val="FFFFFF"/>
          </a:solidFill>
          <a:round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absolute">
    <xdr:from>
      <xdr:col>8</xdr:col>
      <xdr:colOff>205200</xdr:colOff>
      <xdr:row>8</xdr:row>
      <xdr:rowOff>2520</xdr:rowOff>
    </xdr:from>
    <xdr:to>
      <xdr:col>8</xdr:col>
      <xdr:colOff>247320</xdr:colOff>
      <xdr:row>8</xdr:row>
      <xdr:rowOff>126720</xdr:rowOff>
    </xdr:to>
    <xdr:sp macro="" textlink="">
      <xdr:nvSpPr>
        <xdr:cNvPr id="96" name="Line 1">
          <a:extLst>
            <a:ext uri="{FF2B5EF4-FFF2-40B4-BE49-F238E27FC236}">
              <a16:creationId xmlns:a16="http://schemas.microsoft.com/office/drawing/2014/main" id="{00000000-0008-0000-0D00-000060000000}"/>
            </a:ext>
          </a:extLst>
        </xdr:cNvPr>
        <xdr:cNvSpPr/>
      </xdr:nvSpPr>
      <xdr:spPr>
        <a:xfrm flipV="1">
          <a:off x="7854120" y="1859760"/>
          <a:ext cx="42120" cy="124200"/>
        </a:xfrm>
        <a:prstGeom prst="line">
          <a:avLst/>
        </a:prstGeom>
        <a:ln w="3240">
          <a:solidFill>
            <a:srgbClr val="FFFFFF"/>
          </a:solidFill>
          <a:round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absolute">
    <xdr:from>
      <xdr:col>8</xdr:col>
      <xdr:colOff>307080</xdr:colOff>
      <xdr:row>8</xdr:row>
      <xdr:rowOff>10800</xdr:rowOff>
    </xdr:from>
    <xdr:to>
      <xdr:col>8</xdr:col>
      <xdr:colOff>343800</xdr:colOff>
      <xdr:row>8</xdr:row>
      <xdr:rowOff>124920</xdr:rowOff>
    </xdr:to>
    <xdr:sp macro="" textlink="">
      <xdr:nvSpPr>
        <xdr:cNvPr id="97" name="Line 1">
          <a:extLst>
            <a:ext uri="{FF2B5EF4-FFF2-40B4-BE49-F238E27FC236}">
              <a16:creationId xmlns:a16="http://schemas.microsoft.com/office/drawing/2014/main" id="{00000000-0008-0000-0D00-000061000000}"/>
            </a:ext>
          </a:extLst>
        </xdr:cNvPr>
        <xdr:cNvSpPr/>
      </xdr:nvSpPr>
      <xdr:spPr>
        <a:xfrm flipH="1" flipV="1">
          <a:off x="7956000" y="1868040"/>
          <a:ext cx="36720" cy="114120"/>
        </a:xfrm>
        <a:prstGeom prst="line">
          <a:avLst/>
        </a:prstGeom>
        <a:ln w="3240">
          <a:solidFill>
            <a:srgbClr val="FFFFFF"/>
          </a:solidFill>
          <a:round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absolute">
    <xdr:from>
      <xdr:col>8</xdr:col>
      <xdr:colOff>423000</xdr:colOff>
      <xdr:row>8</xdr:row>
      <xdr:rowOff>51840</xdr:rowOff>
    </xdr:from>
    <xdr:to>
      <xdr:col>8</xdr:col>
      <xdr:colOff>472320</xdr:colOff>
      <xdr:row>8</xdr:row>
      <xdr:rowOff>124560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00000000-0008-0000-0D00-000062000000}"/>
            </a:ext>
          </a:extLst>
        </xdr:cNvPr>
        <xdr:cNvSpPr/>
      </xdr:nvSpPr>
      <xdr:spPr>
        <a:xfrm flipH="1" flipV="1">
          <a:off x="8071920" y="1909080"/>
          <a:ext cx="49320" cy="72720"/>
        </a:xfrm>
        <a:prstGeom prst="line">
          <a:avLst/>
        </a:prstGeom>
        <a:ln w="3240">
          <a:solidFill>
            <a:srgbClr val="FFFFFF"/>
          </a:solidFill>
          <a:round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absolute">
    <xdr:from>
      <xdr:col>8</xdr:col>
      <xdr:colOff>343800</xdr:colOff>
      <xdr:row>8</xdr:row>
      <xdr:rowOff>32760</xdr:rowOff>
    </xdr:from>
    <xdr:to>
      <xdr:col>8</xdr:col>
      <xdr:colOff>377640</xdr:colOff>
      <xdr:row>8</xdr:row>
      <xdr:rowOff>124920</xdr:rowOff>
    </xdr:to>
    <xdr:sp macro="" textlink="">
      <xdr:nvSpPr>
        <xdr:cNvPr id="99" name="Line 1">
          <a:extLst>
            <a:ext uri="{FF2B5EF4-FFF2-40B4-BE49-F238E27FC236}">
              <a16:creationId xmlns:a16="http://schemas.microsoft.com/office/drawing/2014/main" id="{00000000-0008-0000-0D00-000063000000}"/>
            </a:ext>
          </a:extLst>
        </xdr:cNvPr>
        <xdr:cNvSpPr/>
      </xdr:nvSpPr>
      <xdr:spPr>
        <a:xfrm flipV="1">
          <a:off x="7992720" y="1890000"/>
          <a:ext cx="33840" cy="92160"/>
        </a:xfrm>
        <a:prstGeom prst="line">
          <a:avLst/>
        </a:prstGeom>
        <a:ln w="3240">
          <a:solidFill>
            <a:srgbClr val="FFFFFF"/>
          </a:solidFill>
          <a:round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absolute">
    <xdr:from>
      <xdr:col>8</xdr:col>
      <xdr:colOff>536400</xdr:colOff>
      <xdr:row>8</xdr:row>
      <xdr:rowOff>128880</xdr:rowOff>
    </xdr:from>
    <xdr:to>
      <xdr:col>8</xdr:col>
      <xdr:colOff>593280</xdr:colOff>
      <xdr:row>9</xdr:row>
      <xdr:rowOff>85320</xdr:rowOff>
    </xdr:to>
    <xdr:sp macro="" textlink="">
      <xdr:nvSpPr>
        <xdr:cNvPr id="100" name="Line 1">
          <a:extLst>
            <a:ext uri="{FF2B5EF4-FFF2-40B4-BE49-F238E27FC236}">
              <a16:creationId xmlns:a16="http://schemas.microsoft.com/office/drawing/2014/main" id="{00000000-0008-0000-0D00-000064000000}"/>
            </a:ext>
          </a:extLst>
        </xdr:cNvPr>
        <xdr:cNvSpPr/>
      </xdr:nvSpPr>
      <xdr:spPr>
        <a:xfrm flipV="1">
          <a:off x="8185320" y="1986120"/>
          <a:ext cx="56880" cy="146880"/>
        </a:xfrm>
        <a:prstGeom prst="line">
          <a:avLst/>
        </a:prstGeom>
        <a:ln w="3240">
          <a:solidFill>
            <a:srgbClr val="FFFFFF"/>
          </a:solidFill>
          <a:round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absolute">
    <xdr:from>
      <xdr:col>8</xdr:col>
      <xdr:colOff>596160</xdr:colOff>
      <xdr:row>8</xdr:row>
      <xdr:rowOff>128880</xdr:rowOff>
    </xdr:from>
    <xdr:to>
      <xdr:col>8</xdr:col>
      <xdr:colOff>670320</xdr:colOff>
      <xdr:row>9</xdr:row>
      <xdr:rowOff>78480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00000000-0008-0000-0D00-000065000000}"/>
            </a:ext>
          </a:extLst>
        </xdr:cNvPr>
        <xdr:cNvSpPr/>
      </xdr:nvSpPr>
      <xdr:spPr>
        <a:xfrm flipH="1" flipV="1">
          <a:off x="8245080" y="1986120"/>
          <a:ext cx="74160" cy="140040"/>
        </a:xfrm>
        <a:prstGeom prst="line">
          <a:avLst/>
        </a:prstGeom>
        <a:ln w="3240">
          <a:solidFill>
            <a:srgbClr val="FFFFFF"/>
          </a:solidFill>
          <a:round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absolute">
    <xdr:from>
      <xdr:col>8</xdr:col>
      <xdr:colOff>667080</xdr:colOff>
      <xdr:row>9</xdr:row>
      <xdr:rowOff>9360</xdr:rowOff>
    </xdr:from>
    <xdr:to>
      <xdr:col>8</xdr:col>
      <xdr:colOff>684360</xdr:colOff>
      <xdr:row>9</xdr:row>
      <xdr:rowOff>77760</xdr:rowOff>
    </xdr:to>
    <xdr:sp macro="" textlink="">
      <xdr:nvSpPr>
        <xdr:cNvPr id="102" name="Line 1">
          <a:extLst>
            <a:ext uri="{FF2B5EF4-FFF2-40B4-BE49-F238E27FC236}">
              <a16:creationId xmlns:a16="http://schemas.microsoft.com/office/drawing/2014/main" id="{00000000-0008-0000-0D00-000066000000}"/>
            </a:ext>
          </a:extLst>
        </xdr:cNvPr>
        <xdr:cNvSpPr/>
      </xdr:nvSpPr>
      <xdr:spPr>
        <a:xfrm flipV="1">
          <a:off x="8316000" y="2057040"/>
          <a:ext cx="17280" cy="68400"/>
        </a:xfrm>
        <a:prstGeom prst="line">
          <a:avLst/>
        </a:prstGeom>
        <a:ln w="3240">
          <a:solidFill>
            <a:srgbClr val="FFFFFF"/>
          </a:solidFill>
          <a:round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16</xdr:col>
      <xdr:colOff>123120</xdr:colOff>
      <xdr:row>12</xdr:row>
      <xdr:rowOff>235440</xdr:rowOff>
    </xdr:from>
    <xdr:to>
      <xdr:col>19</xdr:col>
      <xdr:colOff>532800</xdr:colOff>
      <xdr:row>17</xdr:row>
      <xdr:rowOff>169560</xdr:rowOff>
    </xdr:to>
    <xdr:pic>
      <xdr:nvPicPr>
        <xdr:cNvPr id="103" name="Picture 9">
          <a:extLst>
            <a:ext uri="{FF2B5EF4-FFF2-40B4-BE49-F238E27FC236}">
              <a16:creationId xmlns:a16="http://schemas.microsoft.com/office/drawing/2014/main" id="{00000000-0008-0000-0D00-000067000000}"/>
            </a:ext>
          </a:extLst>
        </xdr:cNvPr>
        <xdr:cNvPicPr/>
      </xdr:nvPicPr>
      <xdr:blipFill>
        <a:blip xmlns:r="http://schemas.openxmlformats.org/officeDocument/2006/relationships" r:embed="rId1"/>
        <a:srcRect l="2206" r="2206"/>
        <a:stretch/>
      </xdr:blipFill>
      <xdr:spPr>
        <a:xfrm>
          <a:off x="14243400" y="3473640"/>
          <a:ext cx="3312360" cy="1029600"/>
        </a:xfrm>
        <a:prstGeom prst="rect">
          <a:avLst/>
        </a:prstGeom>
        <a:ln w="9360"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DB75220-2A73-5F47-B9B2-03B0DD0928E6}" name="Tabla3" displayName="Tabla3" ref="H2:P69" totalsRowShown="0" headerRowDxfId="9">
  <autoFilter ref="H2:P69" xr:uid="{1DB75220-2A73-5F47-B9B2-03B0DD0928E6}"/>
  <tableColumns count="9">
    <tableColumn id="1" xr3:uid="{F68C4EC4-A558-2944-8D36-1FB22F4A2001}" name="Fecha" dataDxfId="8"/>
    <tableColumn id="2" xr3:uid="{43A9E203-3286-4348-B227-F7A394BDDE3D}" name="TRM año de cálculo $/USD" dataDxfId="7">
      <calculatedColumnFormula>+AVERAGEIF(TRM_dia[MES],Tabla3[[#This Row],[Fecha]],TRM_dia[TRM])</calculatedColumnFormula>
    </tableColumn>
    <tableColumn id="3" xr3:uid="{26A725B6-220E-7C4A-A580-32CC51A2A73F}" name="PPI USA - ACERO" dataDxfId="6"/>
    <tableColumn id="4" xr3:uid="{6FC6EA47-C9B2-E640-AC5F-B7C1ED28AC24}" name="IPC"/>
    <tableColumn id="6" xr3:uid="{DAF84A50-258C-4648-8F61-0B92DA1629D8}" name="ICOCIV"/>
    <tableColumn id="5" xr3:uid="{86F139D0-A106-764B-9A47-356A0FBC0751}" name="PPI USA - Aluminio"/>
    <tableColumn id="10" xr3:uid="{DC6E260B-3A3F-F745-9F77-F005E3E29ACE}" name="PPI USA – INSTR. DE CONTROL PROC. INDUSTR."/>
    <tableColumn id="12" xr3:uid="{AF9D5C32-A09A-FD4D-8AFE-B9C969EA0A41}" name="FACTOR  INCREMENTO MANO DE OBRA" dataDxfId="5">
      <calculatedColumnFormula>+INDEX(Tabla2[Salarios],MATCH(YEAR(Tabla3[[#This Row],[Fecha]]),Tabla2[año],0))/Tabla3[[#This Row],[TRM año de cálculo $/USD]]</calculatedColumnFormula>
    </tableColumn>
    <tableColumn id="13" xr3:uid="{EBA54B64-B781-4D4A-B1D6-2ED5D3AC8169}" name="IPC_dólares" dataDxfId="4">
      <calculatedColumnFormula>+Tabla3[[#This Row],[IPC]]/Tabla3[[#This Row],[TRM año de cálculo $/USD]]</calculatedColumnFormula>
    </tableColumn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C5B316F-0B82-9149-A7CE-82CA053319A8}" name="TRM_dia" displayName="TRM_dia" ref="U2:W5873" totalsRowShown="0">
  <autoFilter ref="U2:W5873" xr:uid="{FC5B316F-0B82-9149-A7CE-82CA053319A8}"/>
  <tableColumns count="3">
    <tableColumn id="1" xr3:uid="{CAF54FC1-CCDF-5944-A7EB-779C42FDF66D}" name="MES" dataDxfId="3">
      <calculatedColumnFormula>+DATE(YEAR(V3),MONTH(V3),1)</calculatedColumnFormula>
    </tableColumn>
    <tableColumn id="2" xr3:uid="{22F6F68B-ED08-4840-BC04-577E741AFDDF}" name="Fecha" dataDxfId="2"/>
    <tableColumn id="3" xr3:uid="{C3409956-DBEC-AE47-8407-36755B03D948}" name="TRM" dataDxfId="1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28D3A03-42D7-4148-AF2D-7A87AEBCD101}" name="Tabla2" displayName="Tabla2" ref="R2:S18" totalsRowShown="0">
  <autoFilter ref="R2:S18" xr:uid="{228D3A03-42D7-4148-AF2D-7A87AEBCD101}"/>
  <tableColumns count="2">
    <tableColumn id="1" xr3:uid="{D185BB6D-ED8B-0C4D-B52F-A4E0D005CD4A}" name="año"/>
    <tableColumn id="2" xr3:uid="{414B483B-83BB-824E-B7C1-9B26B9BD013C}" name="Salarios" dataDxfId="0" dataCellStyle="Moneda [0]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3.xml"/><Relationship Id="rId3" Type="http://schemas.openxmlformats.org/officeDocument/2006/relationships/hyperlink" Target="https://data.bls.gov/cgi-bin/srgate" TargetMode="External"/><Relationship Id="rId7" Type="http://schemas.openxmlformats.org/officeDocument/2006/relationships/hyperlink" Target="https://www.dane.gov.co/index.php/estadisticas-por-tema/precios-y-costos/indice-de-costos-de-la-construccion-de-obras-civiles-icociv" TargetMode="External"/><Relationship Id="rId2" Type="http://schemas.openxmlformats.org/officeDocument/2006/relationships/hyperlink" Target="https://www.banrep.gov.co/es/estadisticas/trm" TargetMode="External"/><Relationship Id="rId1" Type="http://schemas.openxmlformats.org/officeDocument/2006/relationships/hyperlink" Target="https://www.banrep.gov.co/es/estadisticas/indice-precios-consumidor-ipc" TargetMode="External"/><Relationship Id="rId6" Type="http://schemas.openxmlformats.org/officeDocument/2006/relationships/hyperlink" Target="http://www.banrep.gov.co/es/indice-salarios" TargetMode="External"/><Relationship Id="rId11" Type="http://schemas.openxmlformats.org/officeDocument/2006/relationships/table" Target="../tables/table3.xml"/><Relationship Id="rId5" Type="http://schemas.openxmlformats.org/officeDocument/2006/relationships/hyperlink" Target="https://data.bls.gov/cgi-bin/srgate" TargetMode="External"/><Relationship Id="rId10" Type="http://schemas.openxmlformats.org/officeDocument/2006/relationships/table" Target="../tables/table2.xml"/><Relationship Id="rId4" Type="http://schemas.openxmlformats.org/officeDocument/2006/relationships/hyperlink" Target="https://data.bls.gov/cgi-bin/srgate" TargetMode="External"/><Relationship Id="rId9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14:G38"/>
  <sheetViews>
    <sheetView showGridLines="0" showRowColHeaders="0" tabSelected="1" workbookViewId="0">
      <selection activeCell="K17" sqref="K17"/>
    </sheetView>
  </sheetViews>
  <sheetFormatPr baseColWidth="10" defaultColWidth="11.42578125" defaultRowHeight="15"/>
  <cols>
    <col min="3" max="3" width="13.42578125" bestFit="1" customWidth="1"/>
    <col min="4" max="4" width="36.5703125" bestFit="1" customWidth="1"/>
  </cols>
  <sheetData>
    <row r="14" spans="2:5" ht="18">
      <c r="B14" s="714" t="s">
        <v>0</v>
      </c>
    </row>
    <row r="16" spans="2:5">
      <c r="D16" s="717"/>
      <c r="E16" s="717" t="s">
        <v>1167</v>
      </c>
    </row>
    <row r="17" spans="2:7">
      <c r="C17" s="715"/>
      <c r="D17" s="809" t="s">
        <v>1168</v>
      </c>
      <c r="E17" s="809"/>
      <c r="F17" s="809"/>
      <c r="G17" s="809"/>
    </row>
    <row r="18" spans="2:7">
      <c r="C18" t="s">
        <v>1</v>
      </c>
    </row>
    <row r="19" spans="2:7">
      <c r="D19" t="s">
        <v>2</v>
      </c>
      <c r="F19" s="716" t="s">
        <v>3</v>
      </c>
    </row>
    <row r="20" spans="2:7">
      <c r="D20" t="s">
        <v>4</v>
      </c>
    </row>
    <row r="21" spans="2:7">
      <c r="D21" t="s">
        <v>5</v>
      </c>
    </row>
    <row r="22" spans="2:7">
      <c r="D22" t="s">
        <v>6</v>
      </c>
    </row>
    <row r="23" spans="2:7">
      <c r="D23" t="s">
        <v>7</v>
      </c>
    </row>
    <row r="24" spans="2:7" ht="18.75">
      <c r="B24" s="689"/>
      <c r="D24" t="s">
        <v>8</v>
      </c>
    </row>
    <row r="25" spans="2:7">
      <c r="D25" t="s">
        <v>9</v>
      </c>
    </row>
    <row r="28" spans="2:7" ht="60">
      <c r="D28" s="41" t="s">
        <v>10</v>
      </c>
    </row>
    <row r="35" spans="2:2" ht="15.75">
      <c r="B35" s="708"/>
    </row>
    <row r="38" spans="2:2">
      <c r="B38" s="713"/>
    </row>
  </sheetData>
  <sheetProtection algorithmName="SHA-512" hashValue="lWQmU20zhgYxT2ovEfI/+prlvIWXl05YvO7ED4vw69UJWcl2HrApJkbTaBy4hoNyFuRqgYkQMKOguzyMvRlh+g==" saltValue="x21Vesr9Q0jomQ7h2ShkSw==" spinCount="100000" sheet="1" selectLockedCells="1"/>
  <mergeCells count="1">
    <mergeCell ref="D17:G17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9"/>
  <dimension ref="A2:T73"/>
  <sheetViews>
    <sheetView showGridLines="0" showRowColHeaders="0" topLeftCell="A16" zoomScaleNormal="100" workbookViewId="0">
      <selection activeCell="F62" sqref="F62"/>
    </sheetView>
  </sheetViews>
  <sheetFormatPr baseColWidth="10" defaultColWidth="9.140625" defaultRowHeight="15"/>
  <cols>
    <col min="1" max="1" width="16.85546875" customWidth="1"/>
    <col min="2" max="2" width="19.28515625" customWidth="1"/>
    <col min="3" max="5" width="18.28515625" customWidth="1"/>
    <col min="6" max="6" width="18.42578125" customWidth="1"/>
    <col min="7" max="7" width="19.42578125" customWidth="1"/>
    <col min="8" max="8" width="11.42578125" bestFit="1" customWidth="1"/>
    <col min="9" max="18" width="8.42578125" customWidth="1"/>
    <col min="19" max="19" width="11" bestFit="1" customWidth="1"/>
    <col min="20" max="20" width="37.42578125" customWidth="1"/>
    <col min="21" max="1026" width="8.42578125" customWidth="1"/>
  </cols>
  <sheetData>
    <row r="2" spans="1:20">
      <c r="B2" s="846" t="s">
        <v>987</v>
      </c>
      <c r="C2" s="846"/>
      <c r="F2" s="848" t="s">
        <v>988</v>
      </c>
      <c r="G2" s="848"/>
      <c r="S2" s="848" t="s">
        <v>989</v>
      </c>
      <c r="T2" s="848"/>
    </row>
    <row r="3" spans="1:20" ht="33.75" customHeight="1">
      <c r="A3" s="666" t="s">
        <v>990</v>
      </c>
      <c r="B3" s="57" t="s">
        <v>991</v>
      </c>
      <c r="C3" s="58" t="s">
        <v>992</v>
      </c>
      <c r="F3" s="57" t="s">
        <v>993</v>
      </c>
      <c r="G3" s="58" t="s">
        <v>992</v>
      </c>
      <c r="S3" s="666" t="s">
        <v>994</v>
      </c>
      <c r="T3" s="58" t="s">
        <v>995</v>
      </c>
    </row>
    <row r="4" spans="1:20">
      <c r="A4" s="60">
        <v>10000</v>
      </c>
      <c r="B4" s="60">
        <v>149.4</v>
      </c>
      <c r="C4" s="61">
        <v>49312039.824400701</v>
      </c>
      <c r="F4" s="60">
        <v>200000</v>
      </c>
      <c r="G4" s="61">
        <v>145440000</v>
      </c>
      <c r="S4" s="60">
        <v>250000</v>
      </c>
      <c r="T4" s="61">
        <v>180000000</v>
      </c>
    </row>
    <row r="5" spans="1:20">
      <c r="A5" s="60">
        <v>20000</v>
      </c>
      <c r="B5" s="60">
        <v>298.86893103513597</v>
      </c>
      <c r="C5" s="61">
        <v>69745205.497494906</v>
      </c>
      <c r="F5" s="60">
        <v>100000</v>
      </c>
      <c r="G5" s="61">
        <v>133400000</v>
      </c>
      <c r="S5" s="60">
        <v>200000</v>
      </c>
      <c r="T5" s="61">
        <v>150000000</v>
      </c>
    </row>
    <row r="6" spans="1:20">
      <c r="A6" s="60">
        <v>50000</v>
      </c>
      <c r="B6" s="60">
        <v>637.88742977097604</v>
      </c>
      <c r="C6" s="61">
        <v>101893386.156497</v>
      </c>
      <c r="F6" s="60">
        <v>50000</v>
      </c>
      <c r="G6" s="61">
        <v>114080000</v>
      </c>
      <c r="S6" s="60">
        <v>100000</v>
      </c>
      <c r="T6" s="61">
        <v>100000000</v>
      </c>
    </row>
    <row r="7" spans="1:20">
      <c r="A7" s="60">
        <v>100000</v>
      </c>
      <c r="B7" s="60">
        <v>1112.8963997511401</v>
      </c>
      <c r="C7" s="61">
        <v>134586451.23344699</v>
      </c>
      <c r="F7" s="60">
        <v>20000</v>
      </c>
      <c r="G7" s="61">
        <v>76800000</v>
      </c>
      <c r="S7" s="60">
        <v>50000</v>
      </c>
      <c r="T7" s="61">
        <v>70000000</v>
      </c>
    </row>
    <row r="8" spans="1:20">
      <c r="A8" s="60">
        <v>200000</v>
      </c>
      <c r="B8" s="60">
        <v>2234.5852082400002</v>
      </c>
      <c r="C8" s="61">
        <v>190709546.282213</v>
      </c>
      <c r="F8" s="60">
        <v>10000</v>
      </c>
      <c r="G8" s="61">
        <v>71200000</v>
      </c>
      <c r="S8" s="60">
        <v>20000</v>
      </c>
      <c r="T8" s="61">
        <v>50000000</v>
      </c>
    </row>
    <row r="9" spans="1:20">
      <c r="A9" s="60">
        <v>250000</v>
      </c>
      <c r="B9" s="60">
        <v>2795.91757292786</v>
      </c>
      <c r="C9" s="61">
        <v>213322249.62710401</v>
      </c>
      <c r="F9" s="60"/>
      <c r="G9" s="61"/>
      <c r="S9" s="60">
        <v>10000</v>
      </c>
      <c r="T9" s="61">
        <v>35000000</v>
      </c>
    </row>
    <row r="10" spans="1:20">
      <c r="B10" s="847" t="s">
        <v>996</v>
      </c>
      <c r="C10" s="847"/>
      <c r="F10" s="847" t="s">
        <v>996</v>
      </c>
      <c r="G10" s="847"/>
      <c r="S10" s="847" t="s">
        <v>996</v>
      </c>
      <c r="T10" s="847"/>
    </row>
    <row r="11" spans="1:20" ht="25.5">
      <c r="B11" s="60" t="s">
        <v>997</v>
      </c>
      <c r="C11" s="61" t="s">
        <v>998</v>
      </c>
      <c r="F11" s="60" t="s">
        <v>997</v>
      </c>
      <c r="G11" s="61" t="s">
        <v>998</v>
      </c>
      <c r="S11" s="60" t="s">
        <v>997</v>
      </c>
      <c r="T11" s="61" t="s">
        <v>998</v>
      </c>
    </row>
    <row r="12" spans="1:20">
      <c r="B12" s="60" t="s">
        <v>999</v>
      </c>
      <c r="C12" s="573">
        <f t="array" ref="C12">RSQ(LN($C$4:$C$9), LN($B$4:$B$9))</f>
        <v>0.99999999998111133</v>
      </c>
      <c r="F12" s="60" t="s">
        <v>999</v>
      </c>
      <c r="G12" s="573">
        <f t="array" ref="G12">RSQ(LN($G$4:$G$8), LN($F$4:$F$8))</f>
        <v>0.9589482811368566</v>
      </c>
      <c r="S12" s="60" t="s">
        <v>999</v>
      </c>
      <c r="T12" s="573">
        <f>RSQ(LN($T$4:$T$9), LN($S$4:$S$9))</f>
        <v>0.99143681248840787</v>
      </c>
    </row>
    <row r="13" spans="1:20" ht="25.5">
      <c r="B13" s="60" t="s">
        <v>1000</v>
      </c>
      <c r="C13" s="573">
        <f t="array" ref="C13">STEYX(LN($C$4:$C$9),LN($B$4:$B$9))</f>
        <v>2.7813826681597271E-6</v>
      </c>
      <c r="F13" s="60" t="s">
        <v>1000</v>
      </c>
      <c r="G13" s="573">
        <f t="array" ref="G13">STEYX(LN($G$4:$G$8), LN($F$4:$F$8))</f>
        <v>7.567457767303902E-2</v>
      </c>
      <c r="S13" s="60" t="s">
        <v>1000</v>
      </c>
      <c r="T13" s="573">
        <f>STEYX(LN($T$4:$T$9), LN($S$4:$S$9))</f>
        <v>6.5689794881457791E-2</v>
      </c>
    </row>
    <row r="14" spans="1:20">
      <c r="B14" s="60" t="s">
        <v>1001</v>
      </c>
      <c r="C14" s="573">
        <f t="array" ref="C14">SLOPE(LN($C$4:$C$9), LN($B$4:$B$9))</f>
        <v>0.49999788158442349</v>
      </c>
      <c r="F14" s="60" t="s">
        <v>1001</v>
      </c>
      <c r="G14" s="573">
        <f t="array" ref="G14">SLOPE(LN($G$4:$G$8), LN($F$4:$F$8))</f>
        <v>0.26321865420214624</v>
      </c>
      <c r="S14" s="60" t="s">
        <v>1001</v>
      </c>
      <c r="T14" s="573">
        <f>SLOPE(LN($T$4:$T$9), LN($S$4:$S$9))</f>
        <v>0.49376079826531144</v>
      </c>
    </row>
    <row r="15" spans="1:20">
      <c r="B15" s="60" t="s">
        <v>1002</v>
      </c>
      <c r="C15" s="573">
        <f t="array" ref="C15">EXP(INTERCEPT(LN($C$4:$C$9), LN($B$4:$B$9)))</f>
        <v>4034416.1720997696</v>
      </c>
      <c r="F15" s="60" t="s">
        <v>1002</v>
      </c>
      <c r="G15" s="573">
        <f t="array" ref="G15">EXP(INTERCEPT(LN($G$4:$G$8), LN($F$4:$F$8)))</f>
        <v>6164884.3366445489</v>
      </c>
      <c r="S15" s="60" t="s">
        <v>1002</v>
      </c>
      <c r="T15" s="573">
        <f>EXP(INTERCEPT(LN($T$4:$T$9), LN($S$4:$S$9)))</f>
        <v>361558.78560129134</v>
      </c>
    </row>
    <row r="34" spans="1:5" ht="51">
      <c r="B34" s="790" t="s">
        <v>1161</v>
      </c>
      <c r="C34" s="790" t="s">
        <v>1162</v>
      </c>
      <c r="D34" s="790" t="s">
        <v>1163</v>
      </c>
    </row>
    <row r="35" spans="1:5">
      <c r="A35" s="789" t="s">
        <v>1154</v>
      </c>
      <c r="B35" s="790" t="s">
        <v>1155</v>
      </c>
      <c r="C35" s="790" t="s">
        <v>1155</v>
      </c>
      <c r="D35" s="790" t="s">
        <v>1155</v>
      </c>
    </row>
    <row r="36" spans="1:5">
      <c r="A36" s="789" t="s">
        <v>1156</v>
      </c>
      <c r="B36" s="791">
        <v>0.8885234430301483</v>
      </c>
      <c r="C36" s="791">
        <v>7.4181308928386425E-2</v>
      </c>
      <c r="D36" s="791">
        <v>0.82388244696491086</v>
      </c>
    </row>
    <row r="37" spans="1:5">
      <c r="A37" s="789" t="s">
        <v>1157</v>
      </c>
      <c r="B37" s="791">
        <v>0.83153076811105342</v>
      </c>
      <c r="C37" s="791">
        <v>0.37417905353412939</v>
      </c>
      <c r="D37" s="791">
        <v>0.42693229377851905</v>
      </c>
    </row>
    <row r="38" spans="1:5">
      <c r="A38" s="789" t="s">
        <v>999</v>
      </c>
      <c r="B38" s="791">
        <v>0.99914369383959944</v>
      </c>
      <c r="C38" s="791">
        <v>0.9889416340862478</v>
      </c>
      <c r="D38" s="791">
        <v>0.99843877043616658</v>
      </c>
    </row>
    <row r="39" spans="1:5">
      <c r="A39" s="789" t="s">
        <v>1158</v>
      </c>
      <c r="B39" s="791">
        <v>4.132792755835113E-2</v>
      </c>
      <c r="C39" s="791">
        <v>6.717448808761349E-2</v>
      </c>
      <c r="D39" s="791">
        <v>2.8661335132266912E-2</v>
      </c>
    </row>
    <row r="42" spans="1:5">
      <c r="A42" s="788" t="s">
        <v>1174</v>
      </c>
      <c r="B42" t="s">
        <v>1175</v>
      </c>
      <c r="D42" t="s">
        <v>1171</v>
      </c>
      <c r="E42" t="s">
        <v>1171</v>
      </c>
    </row>
    <row r="43" spans="1:5">
      <c r="A43" t="s">
        <v>1173</v>
      </c>
      <c r="D43" s="790" t="s">
        <v>1181</v>
      </c>
      <c r="E43" s="790" t="s">
        <v>1164</v>
      </c>
    </row>
    <row r="44" spans="1:5">
      <c r="A44" s="789" t="s">
        <v>1154</v>
      </c>
      <c r="B44" s="790" t="s">
        <v>1155</v>
      </c>
      <c r="C44" s="789" t="s">
        <v>1154</v>
      </c>
      <c r="D44" s="790" t="s">
        <v>1155</v>
      </c>
      <c r="E44" s="790" t="s">
        <v>1155</v>
      </c>
    </row>
    <row r="45" spans="1:5">
      <c r="A45" s="789" t="s">
        <v>1156</v>
      </c>
      <c r="B45" s="790">
        <v>2434.1412787060312</v>
      </c>
      <c r="C45" s="789" t="s">
        <v>1156</v>
      </c>
      <c r="D45" s="791">
        <v>1609.1542575402207</v>
      </c>
      <c r="E45" s="791">
        <v>320.0199963573196</v>
      </c>
    </row>
    <row r="46" spans="1:5">
      <c r="A46" s="789" t="s">
        <v>1157</v>
      </c>
      <c r="B46" s="791">
        <v>0.54727169310546564</v>
      </c>
      <c r="C46" s="789" t="s">
        <v>1157</v>
      </c>
      <c r="D46" s="791">
        <v>-0.22998856915829288</v>
      </c>
      <c r="E46" s="791">
        <v>0.40058335719806654</v>
      </c>
    </row>
    <row r="47" spans="1:5">
      <c r="A47" s="789" t="s">
        <v>999</v>
      </c>
      <c r="B47" s="791">
        <v>0.97190214904661132</v>
      </c>
      <c r="C47" s="789" t="s">
        <v>999</v>
      </c>
      <c r="D47" s="791">
        <v>0.82428156569920785</v>
      </c>
      <c r="E47" s="791">
        <v>0.95548794069406084</v>
      </c>
    </row>
    <row r="48" spans="1:5">
      <c r="A48" s="789" t="s">
        <v>1158</v>
      </c>
      <c r="B48" s="791">
        <v>0.12252584028182845</v>
      </c>
      <c r="C48" s="789" t="s">
        <v>1158</v>
      </c>
      <c r="D48" s="791">
        <v>0.18027764069810637</v>
      </c>
      <c r="E48" s="791">
        <v>0.14678574656022272</v>
      </c>
    </row>
    <row r="49" spans="1:2">
      <c r="A49" t="s">
        <v>1172</v>
      </c>
    </row>
    <row r="50" spans="1:2">
      <c r="A50" s="789" t="s">
        <v>1154</v>
      </c>
      <c r="B50" s="790" t="s">
        <v>1155</v>
      </c>
    </row>
    <row r="51" spans="1:2">
      <c r="A51" s="789" t="s">
        <v>1156</v>
      </c>
      <c r="B51" s="795">
        <v>1.1379462666155329</v>
      </c>
    </row>
    <row r="52" spans="1:2">
      <c r="A52" s="789" t="s">
        <v>1157</v>
      </c>
      <c r="B52" s="791">
        <v>1.0991754497299675</v>
      </c>
    </row>
    <row r="53" spans="1:2">
      <c r="A53" s="789" t="s">
        <v>999</v>
      </c>
      <c r="B53" s="791">
        <v>0.98686661240361584</v>
      </c>
    </row>
    <row r="54" spans="1:2">
      <c r="A54" s="789" t="s">
        <v>1158</v>
      </c>
      <c r="B54" s="791">
        <v>5.6994052389971024E-2</v>
      </c>
    </row>
    <row r="56" spans="1:2" ht="25.5">
      <c r="A56" s="788" t="s">
        <v>1176</v>
      </c>
    </row>
    <row r="57" spans="1:2">
      <c r="A57" s="789" t="s">
        <v>31</v>
      </c>
      <c r="B57" s="790" t="s">
        <v>1166</v>
      </c>
    </row>
    <row r="58" spans="1:2">
      <c r="A58" s="789">
        <v>1000</v>
      </c>
      <c r="B58" s="795">
        <v>3.06</v>
      </c>
    </row>
    <row r="59" spans="1:2">
      <c r="A59" s="789">
        <v>15000</v>
      </c>
      <c r="B59" s="791">
        <v>3.59</v>
      </c>
    </row>
    <row r="60" spans="1:2">
      <c r="A60" s="789">
        <v>30000</v>
      </c>
      <c r="B60" s="791">
        <v>4.16</v>
      </c>
    </row>
    <row r="61" spans="1:2">
      <c r="A61" s="789">
        <v>60000</v>
      </c>
      <c r="B61" s="791">
        <v>4.78</v>
      </c>
    </row>
    <row r="62" spans="1:2">
      <c r="A62" s="789">
        <v>250000</v>
      </c>
      <c r="B62" s="790">
        <v>5.44</v>
      </c>
    </row>
    <row r="65" spans="1:5">
      <c r="A65" t="s">
        <v>1177</v>
      </c>
      <c r="B65" t="s">
        <v>1177</v>
      </c>
    </row>
    <row r="67" spans="1:5">
      <c r="A67" s="789" t="s">
        <v>993</v>
      </c>
      <c r="B67" s="790" t="s">
        <v>1180</v>
      </c>
      <c r="C67" s="789" t="s">
        <v>1178</v>
      </c>
      <c r="D67" s="790" t="s">
        <v>1179</v>
      </c>
    </row>
    <row r="68" spans="1:5">
      <c r="A68" s="789">
        <v>1000</v>
      </c>
      <c r="B68" s="790">
        <v>2</v>
      </c>
      <c r="C68" s="798">
        <v>11331.66520689352</v>
      </c>
      <c r="D68" s="799">
        <v>0.3</v>
      </c>
    </row>
    <row r="69" spans="1:5">
      <c r="A69" s="789">
        <v>15000</v>
      </c>
      <c r="B69" s="790">
        <v>8</v>
      </c>
      <c r="C69" s="798">
        <v>5752.5122104453558</v>
      </c>
      <c r="D69" s="799">
        <v>0.24</v>
      </c>
    </row>
    <row r="70" spans="1:5">
      <c r="A70" s="789">
        <v>150000</v>
      </c>
      <c r="B70" s="790">
        <v>16</v>
      </c>
      <c r="C70" s="798">
        <f>+C69</f>
        <v>5752.5122104453558</v>
      </c>
      <c r="D70" s="799">
        <f>+D69</f>
        <v>0.24</v>
      </c>
    </row>
    <row r="71" spans="1:5">
      <c r="A71" s="82"/>
      <c r="B71" s="82"/>
      <c r="C71" s="82"/>
      <c r="D71" s="82"/>
      <c r="E71" s="82"/>
    </row>
    <row r="72" spans="1:5">
      <c r="A72" s="82"/>
      <c r="B72" s="82"/>
      <c r="C72" s="82"/>
      <c r="D72" s="82"/>
      <c r="E72" s="82"/>
    </row>
    <row r="73" spans="1:5">
      <c r="A73" s="82"/>
      <c r="B73" s="82"/>
      <c r="C73" s="82"/>
      <c r="D73" s="82"/>
      <c r="E73" s="82"/>
    </row>
  </sheetData>
  <sheetProtection algorithmName="SHA-512" hashValue="P9BEKwC6VDC5czwjkLeCYKWTvAHhH50pqS4RUOtJW04rspKG4qEUbtPHEVP5k50nv+zhbF6kyp5GZ5OyzFZrrw==" saltValue="33amfw83mrg3ocsYtN6zYw==" spinCount="100000" sheet="1" objects="1" scenarios="1"/>
  <mergeCells count="6">
    <mergeCell ref="B2:C2"/>
    <mergeCell ref="B10:C10"/>
    <mergeCell ref="F2:G2"/>
    <mergeCell ref="F10:G10"/>
    <mergeCell ref="S2:T2"/>
    <mergeCell ref="S10:T10"/>
  </mergeCells>
  <pageMargins left="0.78749999999999998" right="0.78749999999999998" top="1.05277777777778" bottom="1.05277777777778" header="0.78749999999999998" footer="0.78749999999999998"/>
  <pageSetup firstPageNumber="0" orientation="portrait" horizontalDpi="300" verticalDpi="300" r:id="rId1"/>
  <headerFooter>
    <oddHeader>&amp;C&amp;"Times New Roman,Regular"&amp;12&amp;A</oddHeader>
    <oddFooter>&amp;C&amp;"Times New Roman,Regular"&amp;12Page 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1">
    <tabColor theme="4" tint="-0.249977111117893"/>
  </sheetPr>
  <dimension ref="A1:AMK2148"/>
  <sheetViews>
    <sheetView showGridLines="0" showRowColHeaders="0" zoomScaleNormal="100" workbookViewId="0">
      <selection activeCell="O42" sqref="O42"/>
    </sheetView>
  </sheetViews>
  <sheetFormatPr baseColWidth="10" defaultColWidth="9.140625" defaultRowHeight="15"/>
  <cols>
    <col min="1" max="1" width="8.7109375" style="159" customWidth="1"/>
    <col min="2" max="2" width="16" style="159" customWidth="1"/>
    <col min="3" max="3" width="16.7109375" style="159" customWidth="1"/>
    <col min="4" max="4" width="9.7109375" style="159" customWidth="1"/>
    <col min="5" max="5" width="17.42578125" style="159" customWidth="1"/>
    <col min="6" max="6" width="12.85546875" style="159" customWidth="1"/>
    <col min="7" max="7" width="12.42578125" style="159" customWidth="1"/>
    <col min="8" max="9" width="11.42578125" style="159"/>
    <col min="10" max="12" width="12.85546875" style="159" customWidth="1"/>
    <col min="13" max="13" width="10.28515625" style="159" customWidth="1"/>
    <col min="14" max="14" width="9.7109375" style="159" customWidth="1"/>
    <col min="15" max="15" width="10.42578125" style="159" customWidth="1"/>
    <col min="16" max="16" width="12.28515625" style="159" customWidth="1"/>
    <col min="17" max="18" width="12.85546875" style="159" customWidth="1"/>
    <col min="19" max="19" width="15.42578125" style="159" customWidth="1"/>
    <col min="20" max="1025" width="11.42578125" style="159"/>
  </cols>
  <sheetData>
    <row r="1" spans="1:27" ht="39.75" customHeight="1">
      <c r="A1" s="869" t="s">
        <v>1003</v>
      </c>
      <c r="B1" s="869"/>
      <c r="C1" s="869"/>
      <c r="D1" s="869"/>
      <c r="E1" s="869"/>
      <c r="F1" s="869"/>
      <c r="G1" s="869"/>
      <c r="H1" s="869"/>
      <c r="I1" s="869"/>
      <c r="J1" s="869"/>
      <c r="K1" s="870" t="s">
        <v>1004</v>
      </c>
      <c r="L1" s="870"/>
      <c r="M1" s="870"/>
      <c r="N1" s="870"/>
      <c r="O1" s="160" t="s">
        <v>1005</v>
      </c>
      <c r="P1" s="161" t="s">
        <v>1006</v>
      </c>
    </row>
    <row r="2" spans="1:27" ht="14.25" customHeight="1">
      <c r="A2" s="163"/>
      <c r="B2" s="164"/>
      <c r="C2" s="871" t="s">
        <v>1007</v>
      </c>
      <c r="D2" s="871"/>
      <c r="E2" s="872" t="s">
        <v>1008</v>
      </c>
      <c r="F2" s="166"/>
      <c r="G2" s="167" t="s">
        <v>1009</v>
      </c>
      <c r="H2" s="167" t="s">
        <v>1010</v>
      </c>
      <c r="I2" s="167" t="s">
        <v>1011</v>
      </c>
      <c r="J2" s="167" t="s">
        <v>1012</v>
      </c>
      <c r="K2" s="341"/>
      <c r="L2" s="341">
        <v>0</v>
      </c>
      <c r="M2" s="341">
        <v>8</v>
      </c>
      <c r="N2" s="342">
        <f t="shared" ref="N2:N11" si="0">L2/M2</f>
        <v>0</v>
      </c>
      <c r="O2" s="343">
        <v>0</v>
      </c>
      <c r="P2" s="344">
        <v>0</v>
      </c>
    </row>
    <row r="3" spans="1:27">
      <c r="A3" s="873" t="s">
        <v>31</v>
      </c>
      <c r="B3" s="172" t="s">
        <v>1013</v>
      </c>
      <c r="C3" s="173">
        <f>E9^2*3.1416*E10/4</f>
        <v>5850.1173499792922</v>
      </c>
      <c r="D3" s="174" t="s">
        <v>1014</v>
      </c>
      <c r="E3" s="872"/>
      <c r="F3" s="175" t="s">
        <v>1015</v>
      </c>
      <c r="G3" s="176">
        <v>137</v>
      </c>
      <c r="H3" s="176">
        <v>20000</v>
      </c>
      <c r="I3" s="176">
        <v>154</v>
      </c>
      <c r="J3" s="176">
        <v>22500</v>
      </c>
      <c r="K3" s="341"/>
      <c r="L3" s="341">
        <v>3</v>
      </c>
      <c r="M3" s="341">
        <v>16</v>
      </c>
      <c r="N3" s="342">
        <f t="shared" si="0"/>
        <v>0.1875</v>
      </c>
      <c r="O3" s="343">
        <v>415</v>
      </c>
      <c r="P3" s="344">
        <v>555.73</v>
      </c>
    </row>
    <row r="4" spans="1:27">
      <c r="A4" s="873"/>
      <c r="B4" s="172" t="s">
        <v>1016</v>
      </c>
      <c r="C4" s="173">
        <f>C3/0.13368</f>
        <v>43762.098668307095</v>
      </c>
      <c r="D4" s="174" t="s">
        <v>467</v>
      </c>
      <c r="E4" s="872"/>
      <c r="F4" s="175" t="s">
        <v>1017</v>
      </c>
      <c r="G4" s="176">
        <v>173</v>
      </c>
      <c r="H4" s="176">
        <v>25300</v>
      </c>
      <c r="I4" s="176">
        <v>195</v>
      </c>
      <c r="J4" s="176">
        <v>28500</v>
      </c>
      <c r="K4" s="341"/>
      <c r="L4" s="341">
        <v>1</v>
      </c>
      <c r="M4" s="341">
        <v>4</v>
      </c>
      <c r="N4" s="342">
        <f t="shared" si="0"/>
        <v>0.25</v>
      </c>
      <c r="O4" s="343">
        <v>555.73</v>
      </c>
      <c r="P4" s="344">
        <v>740.97</v>
      </c>
    </row>
    <row r="5" spans="1:27" ht="15.75">
      <c r="A5" s="873"/>
      <c r="B5" s="172" t="s">
        <v>32</v>
      </c>
      <c r="C5" s="178">
        <f>C4/42</f>
        <v>1041.954730197788</v>
      </c>
      <c r="D5" s="179" t="s">
        <v>1018</v>
      </c>
      <c r="E5" s="872"/>
      <c r="F5" s="180" t="s">
        <v>792</v>
      </c>
      <c r="G5" s="181">
        <v>160</v>
      </c>
      <c r="H5" s="181">
        <v>23200</v>
      </c>
      <c r="I5" s="181">
        <v>171</v>
      </c>
      <c r="J5" s="181">
        <v>24900</v>
      </c>
      <c r="K5" s="341"/>
      <c r="L5" s="341">
        <v>5</v>
      </c>
      <c r="M5" s="341">
        <v>16</v>
      </c>
      <c r="N5" s="342">
        <f t="shared" si="0"/>
        <v>0.3125</v>
      </c>
      <c r="O5" s="343">
        <v>694.88</v>
      </c>
      <c r="P5" s="344">
        <v>926.5</v>
      </c>
    </row>
    <row r="6" spans="1:27">
      <c r="A6" s="873"/>
      <c r="B6" s="172" t="s">
        <v>1019</v>
      </c>
      <c r="C6" s="182">
        <f>C5*159/1000</f>
        <v>165.67080210144829</v>
      </c>
      <c r="D6" s="183" t="s">
        <v>1020</v>
      </c>
      <c r="E6" s="184"/>
      <c r="F6"/>
      <c r="G6" s="874" t="s">
        <v>1021</v>
      </c>
      <c r="H6" s="874"/>
      <c r="I6" s="874"/>
      <c r="J6" s="874"/>
      <c r="K6" s="345"/>
      <c r="L6" s="341">
        <v>3</v>
      </c>
      <c r="M6" s="341">
        <v>8</v>
      </c>
      <c r="N6" s="342">
        <f t="shared" si="0"/>
        <v>0.375</v>
      </c>
      <c r="O6" s="343">
        <v>833.15</v>
      </c>
      <c r="P6" s="344">
        <v>1110.8699999999999</v>
      </c>
    </row>
    <row r="7" spans="1:27">
      <c r="A7" s="864" t="s">
        <v>1022</v>
      </c>
      <c r="B7" s="864"/>
      <c r="C7" s="864"/>
      <c r="D7" s="864"/>
      <c r="E7" s="864"/>
      <c r="F7" s="864"/>
      <c r="G7" s="186"/>
      <c r="H7" s="187"/>
      <c r="I7" s="187"/>
      <c r="J7" s="188"/>
      <c r="K7" s="345"/>
      <c r="L7" s="341">
        <v>1</v>
      </c>
      <c r="M7" s="341">
        <v>2</v>
      </c>
      <c r="N7" s="342">
        <f t="shared" si="0"/>
        <v>0.5</v>
      </c>
      <c r="O7" s="343">
        <v>1111.45</v>
      </c>
      <c r="P7" s="344">
        <v>1481.94</v>
      </c>
    </row>
    <row r="8" spans="1:27">
      <c r="A8" s="865" t="s">
        <v>1023</v>
      </c>
      <c r="B8" s="865"/>
      <c r="C8" s="866" t="s">
        <v>1024</v>
      </c>
      <c r="D8" s="866"/>
      <c r="E8" s="867" t="s">
        <v>1025</v>
      </c>
      <c r="F8" s="867"/>
      <c r="G8" s="189"/>
      <c r="J8" s="190"/>
      <c r="K8" s="345"/>
      <c r="L8" s="341">
        <v>5</v>
      </c>
      <c r="M8" s="341">
        <v>8</v>
      </c>
      <c r="N8" s="342">
        <f t="shared" si="0"/>
        <v>0.625</v>
      </c>
      <c r="O8" s="343">
        <v>1388.88</v>
      </c>
      <c r="P8" s="344">
        <v>1851.84</v>
      </c>
    </row>
    <row r="9" spans="1:27">
      <c r="A9" s="191" t="s">
        <v>1026</v>
      </c>
      <c r="B9" s="172" t="s">
        <v>1027</v>
      </c>
      <c r="C9" s="346">
        <f>E9*0.3048</f>
        <v>5.7403999999898403</v>
      </c>
      <c r="D9" s="159" t="s">
        <v>1028</v>
      </c>
      <c r="E9" s="347">
        <f>+VLOOKUP(Capacidad,Factores!B3:D24,3,1)</f>
        <v>18.833333333300001</v>
      </c>
      <c r="F9" s="194" t="s">
        <v>1029</v>
      </c>
      <c r="G9" s="189"/>
      <c r="J9" s="190"/>
      <c r="K9" s="345"/>
      <c r="L9" s="341">
        <v>3</v>
      </c>
      <c r="M9" s="341">
        <v>4</v>
      </c>
      <c r="N9" s="342">
        <f t="shared" si="0"/>
        <v>0.75</v>
      </c>
      <c r="O9" s="343">
        <v>1667.18</v>
      </c>
      <c r="P9" s="344">
        <v>2222.19</v>
      </c>
    </row>
    <row r="10" spans="1:27">
      <c r="A10" s="191" t="s">
        <v>1030</v>
      </c>
      <c r="B10" s="172" t="s">
        <v>1031</v>
      </c>
      <c r="C10" s="348">
        <f>E10*0.3048</f>
        <v>6.4008000000000003</v>
      </c>
      <c r="D10" s="195" t="s">
        <v>1028</v>
      </c>
      <c r="E10" s="349">
        <f>+VLOOKUP(Capacidad,Factores!B3:D24,2,1)</f>
        <v>21</v>
      </c>
      <c r="F10" s="197" t="s">
        <v>1029</v>
      </c>
      <c r="G10" s="189"/>
      <c r="H10" s="216"/>
      <c r="I10" s="350">
        <f>+C55</f>
        <v>0</v>
      </c>
      <c r="J10" s="190"/>
      <c r="K10" s="345"/>
      <c r="L10" s="341">
        <v>7</v>
      </c>
      <c r="M10" s="341">
        <v>8</v>
      </c>
      <c r="N10" s="342">
        <f t="shared" si="0"/>
        <v>0.875</v>
      </c>
      <c r="O10" s="343">
        <v>1944.61</v>
      </c>
      <c r="P10" s="344">
        <v>2592.81</v>
      </c>
    </row>
    <row r="11" spans="1:27" ht="39">
      <c r="A11" s="200" t="s">
        <v>1032</v>
      </c>
      <c r="B11" s="201" t="s">
        <v>1033</v>
      </c>
      <c r="C11" s="207">
        <v>1</v>
      </c>
      <c r="E11" s="207">
        <v>1</v>
      </c>
      <c r="G11" s="189"/>
      <c r="H11" s="207"/>
      <c r="I11" s="204"/>
      <c r="J11" s="205">
        <f>+C10</f>
        <v>6.4008000000000003</v>
      </c>
      <c r="K11" s="345"/>
      <c r="L11" s="341">
        <v>1</v>
      </c>
      <c r="M11" s="341">
        <v>1</v>
      </c>
      <c r="N11" s="342">
        <f t="shared" si="0"/>
        <v>1</v>
      </c>
      <c r="O11" s="343">
        <v>2222.91</v>
      </c>
      <c r="P11" s="344">
        <v>2263.88</v>
      </c>
    </row>
    <row r="12" spans="1:27" ht="39">
      <c r="A12" s="200" t="s">
        <v>1034</v>
      </c>
      <c r="B12" s="201" t="s">
        <v>1035</v>
      </c>
      <c r="C12" s="173">
        <f>E12*25.4</f>
        <v>3.1749999999999998</v>
      </c>
      <c r="D12" s="195" t="s">
        <v>1036</v>
      </c>
      <c r="E12" s="206">
        <v>0.125</v>
      </c>
      <c r="F12" s="195" t="s">
        <v>1037</v>
      </c>
      <c r="G12" s="189"/>
      <c r="H12" s="207"/>
      <c r="I12" s="183"/>
      <c r="J12" s="351">
        <f>E10</f>
        <v>21</v>
      </c>
      <c r="K12" s="345">
        <v>1</v>
      </c>
      <c r="L12" s="341">
        <v>1</v>
      </c>
      <c r="M12" s="341">
        <v>8</v>
      </c>
      <c r="N12" s="342">
        <f>(L12/M12)+K12</f>
        <v>1.125</v>
      </c>
      <c r="O12" s="343">
        <v>2500.77</v>
      </c>
      <c r="P12" s="344">
        <v>3704.84</v>
      </c>
    </row>
    <row r="13" spans="1:27" ht="25.5" customHeight="1">
      <c r="A13" s="200" t="s">
        <v>1038</v>
      </c>
      <c r="B13" s="201" t="s">
        <v>1039</v>
      </c>
      <c r="C13" s="209">
        <f>E13*25.4</f>
        <v>1.5874999999999999</v>
      </c>
      <c r="D13" s="187" t="s">
        <v>1036</v>
      </c>
      <c r="E13" s="206">
        <v>6.25E-2</v>
      </c>
      <c r="F13" s="210" t="s">
        <v>1040</v>
      </c>
      <c r="G13" s="189"/>
      <c r="H13" s="211"/>
      <c r="I13" s="212"/>
      <c r="J13" s="190"/>
      <c r="K13" s="345">
        <v>1</v>
      </c>
      <c r="L13" s="341">
        <v>1</v>
      </c>
      <c r="M13" s="341">
        <v>4</v>
      </c>
      <c r="N13" s="342">
        <f>(L13/M13)+K13</f>
        <v>1.25</v>
      </c>
      <c r="O13" s="343">
        <v>2778.63</v>
      </c>
      <c r="P13" s="344">
        <v>3734.02</v>
      </c>
      <c r="T13" s="352"/>
      <c r="U13" s="352"/>
      <c r="V13" s="352"/>
      <c r="W13" s="352"/>
      <c r="X13" s="352"/>
      <c r="Y13" s="352"/>
      <c r="Z13" s="352"/>
      <c r="AA13" s="353"/>
    </row>
    <row r="14" spans="1:27">
      <c r="A14" s="191"/>
      <c r="B14" s="172" t="s">
        <v>1041</v>
      </c>
      <c r="C14" s="868" t="s">
        <v>1017</v>
      </c>
      <c r="D14" s="868"/>
      <c r="E14" s="868"/>
      <c r="F14" s="868"/>
      <c r="G14" s="189"/>
      <c r="H14" s="213">
        <f>E9</f>
        <v>18.833333333300001</v>
      </c>
      <c r="I14" s="214" t="s">
        <v>1029</v>
      </c>
      <c r="J14" s="190"/>
      <c r="K14" s="345">
        <v>1</v>
      </c>
      <c r="L14" s="341">
        <v>1</v>
      </c>
      <c r="M14" s="341">
        <v>2</v>
      </c>
      <c r="N14" s="342">
        <f>(L14/M14)+K14</f>
        <v>1.5</v>
      </c>
      <c r="O14" s="343">
        <v>3334.36</v>
      </c>
      <c r="P14" s="344">
        <v>4445.8100000000004</v>
      </c>
    </row>
    <row r="15" spans="1:27">
      <c r="A15" s="191" t="s">
        <v>1042</v>
      </c>
      <c r="B15" s="172" t="s">
        <v>1043</v>
      </c>
      <c r="C15" s="354">
        <f>VLOOKUP($C$14,$F$3:$J$5,2,0)</f>
        <v>173</v>
      </c>
      <c r="D15" s="216" t="s">
        <v>1044</v>
      </c>
      <c r="E15" s="343">
        <f>VLOOKUP($C$14,$F$3:$J$5,3,0)</f>
        <v>25300</v>
      </c>
      <c r="F15" s="195" t="s">
        <v>1045</v>
      </c>
      <c r="G15" s="189"/>
      <c r="H15" s="218">
        <f>C9</f>
        <v>5.7403999999898403</v>
      </c>
      <c r="I15" s="214" t="s">
        <v>1028</v>
      </c>
      <c r="J15" s="190"/>
      <c r="K15" s="355">
        <v>1</v>
      </c>
      <c r="L15" s="356">
        <v>3</v>
      </c>
      <c r="M15" s="356">
        <v>4</v>
      </c>
      <c r="N15" s="357">
        <f>(L15/M15)+K15</f>
        <v>1.75</v>
      </c>
      <c r="O15" s="343">
        <v>3890.09</v>
      </c>
      <c r="P15" s="344">
        <v>5186.79</v>
      </c>
    </row>
    <row r="16" spans="1:27">
      <c r="A16" s="191" t="s">
        <v>1046</v>
      </c>
      <c r="B16" s="172" t="s">
        <v>1047</v>
      </c>
      <c r="C16" s="343">
        <f>VLOOKUP($C$14,$F$3:$J$5,4,0)</f>
        <v>195</v>
      </c>
      <c r="D16" s="195" t="s">
        <v>1044</v>
      </c>
      <c r="E16" s="343">
        <f>VLOOKUP($C$14,$F$3:$J$5,5,0)</f>
        <v>28500</v>
      </c>
      <c r="F16" s="195" t="s">
        <v>1045</v>
      </c>
      <c r="G16" s="189"/>
      <c r="J16" s="190"/>
      <c r="K16" s="355"/>
      <c r="L16" s="356"/>
      <c r="M16" s="356">
        <v>2</v>
      </c>
      <c r="N16" s="357">
        <f>M16</f>
        <v>2</v>
      </c>
      <c r="O16" s="343">
        <v>4445.8100000000004</v>
      </c>
      <c r="P16" s="344">
        <v>5927.75</v>
      </c>
    </row>
    <row r="17" spans="1:23" ht="15" customHeight="1">
      <c r="A17" s="191" t="s">
        <v>1048</v>
      </c>
      <c r="B17" s="172" t="s">
        <v>1049</v>
      </c>
      <c r="C17" s="222">
        <f>(4.9*C9*(C10-0.3)*C11)/C15+C12</f>
        <v>4.1669251928768567</v>
      </c>
      <c r="D17" t="s">
        <v>1036</v>
      </c>
      <c r="E17" s="222">
        <f>(2.6*E9*(E10-1)*E11)/E15+E12</f>
        <v>0.16370882740441106</v>
      </c>
      <c r="F17" t="s">
        <v>1037</v>
      </c>
      <c r="G17" s="859" t="s">
        <v>1050</v>
      </c>
      <c r="H17" s="859"/>
      <c r="I17" s="859"/>
      <c r="J17" s="859"/>
      <c r="K17" s="187"/>
      <c r="L17" s="187"/>
      <c r="M17" s="187"/>
      <c r="N17" s="187"/>
      <c r="O17" s="187"/>
      <c r="P17" s="188"/>
    </row>
    <row r="18" spans="1:23">
      <c r="A18" s="223" t="s">
        <v>1051</v>
      </c>
      <c r="B18" s="224" t="s">
        <v>1052</v>
      </c>
      <c r="C18" s="225">
        <f>(4.9*C9*(C10-0.3))/C16</f>
        <v>0.88001568393690421</v>
      </c>
      <c r="D18" s="197" t="s">
        <v>1036</v>
      </c>
      <c r="E18" s="225">
        <f>(2.6*E9*(E10-1))/E16</f>
        <v>3.4362573099354386E-2</v>
      </c>
      <c r="F18" s="197" t="s">
        <v>1037</v>
      </c>
      <c r="G18" s="859"/>
      <c r="H18" s="859"/>
      <c r="I18" s="859"/>
      <c r="J18" s="859"/>
      <c r="K18" s="226"/>
      <c r="L18" s="226"/>
      <c r="M18" s="226"/>
      <c r="N18" s="226"/>
      <c r="O18" s="226"/>
      <c r="P18" s="227"/>
    </row>
    <row r="19" spans="1:23">
      <c r="A19" s="162"/>
      <c r="B19" s="162"/>
      <c r="C19" s="162"/>
      <c r="D19" s="162"/>
      <c r="E19" s="162"/>
      <c r="F19" s="162"/>
      <c r="G19" s="162"/>
      <c r="H19" s="162"/>
      <c r="I19" s="162"/>
      <c r="J19" s="162"/>
      <c r="K19" s="162"/>
      <c r="L19" s="162"/>
      <c r="M19" s="162"/>
      <c r="N19" s="162"/>
      <c r="O19" s="162"/>
      <c r="P19" s="162"/>
    </row>
    <row r="20" spans="1:23" ht="15.75" customHeight="1">
      <c r="A20" s="860" t="s">
        <v>1053</v>
      </c>
      <c r="B20" s="860"/>
      <c r="C20" s="860"/>
      <c r="D20" s="860"/>
      <c r="E20" s="860"/>
      <c r="F20" s="860"/>
      <c r="G20" s="860"/>
      <c r="H20" s="860"/>
      <c r="I20" s="860"/>
      <c r="J20" s="860"/>
      <c r="K20" s="860"/>
      <c r="L20" s="860"/>
      <c r="M20" s="860"/>
      <c r="N20"/>
      <c r="O20"/>
      <c r="P20"/>
      <c r="Q20"/>
      <c r="R20"/>
      <c r="S20"/>
      <c r="T20"/>
      <c r="U20"/>
      <c r="V20"/>
      <c r="W20"/>
    </row>
    <row r="21" spans="1:23" ht="25.5" customHeight="1">
      <c r="A21" s="861" t="s">
        <v>1054</v>
      </c>
      <c r="B21" s="230" t="s">
        <v>1055</v>
      </c>
      <c r="C21" s="231" t="s">
        <v>1056</v>
      </c>
      <c r="D21" s="231" t="s">
        <v>1057</v>
      </c>
      <c r="E21" s="231" t="s">
        <v>1058</v>
      </c>
      <c r="F21" s="231" t="s">
        <v>1059</v>
      </c>
      <c r="G21" s="231" t="s">
        <v>1060</v>
      </c>
      <c r="H21" s="232" t="s">
        <v>1061</v>
      </c>
      <c r="I21" s="231" t="s">
        <v>1062</v>
      </c>
      <c r="J21" s="862" t="s">
        <v>1063</v>
      </c>
      <c r="K21" s="862"/>
      <c r="L21" s="862"/>
      <c r="M21" s="358" t="s">
        <v>1064</v>
      </c>
      <c r="N21" s="863"/>
      <c r="O21" s="863"/>
      <c r="P21" s="863"/>
      <c r="Q21" s="234"/>
      <c r="R21" s="855"/>
      <c r="S21" s="855"/>
      <c r="T21" s="855"/>
      <c r="U21" s="855"/>
      <c r="V21" s="334"/>
      <c r="W21" s="334"/>
    </row>
    <row r="22" spans="1:23" ht="24.75" customHeight="1">
      <c r="A22" s="861"/>
      <c r="B22" s="165" t="s">
        <v>1029</v>
      </c>
      <c r="C22" s="165" t="s">
        <v>1029</v>
      </c>
      <c r="D22" s="235" t="s">
        <v>1040</v>
      </c>
      <c r="E22" s="235" t="s">
        <v>1040</v>
      </c>
      <c r="F22" s="235" t="s">
        <v>1040</v>
      </c>
      <c r="G22" s="235" t="s">
        <v>1040</v>
      </c>
      <c r="H22" s="165" t="s">
        <v>1065</v>
      </c>
      <c r="I22" s="235" t="s">
        <v>1040</v>
      </c>
      <c r="J22" s="167" t="s">
        <v>1066</v>
      </c>
      <c r="K22" s="167" t="s">
        <v>1067</v>
      </c>
      <c r="L22" s="167" t="s">
        <v>1068</v>
      </c>
      <c r="M22" s="359" t="s">
        <v>1069</v>
      </c>
      <c r="N22" s="237"/>
      <c r="O22" s="237"/>
      <c r="P22" s="237"/>
      <c r="Q22" s="234"/>
      <c r="R22" s="234"/>
      <c r="S22" s="234"/>
      <c r="T22" s="234"/>
      <c r="U22" s="234"/>
      <c r="V22" s="360"/>
      <c r="W22" s="361"/>
    </row>
    <row r="23" spans="1:23">
      <c r="A23" s="362">
        <v>1</v>
      </c>
      <c r="B23" s="363">
        <v>6</v>
      </c>
      <c r="C23" s="364">
        <f>E10+1</f>
        <v>22</v>
      </c>
      <c r="D23" s="241">
        <f t="shared" ref="D23:D32" si="1">IF(C23=0,0,(2.6*$E$9*(C23-1)*$E$11)/$E$15+$E$12)</f>
        <v>0.16564426877463162</v>
      </c>
      <c r="E23" s="242">
        <f t="shared" ref="E23:E28" si="2">(2.6*$E$9*(C23-1))/$E$16</f>
        <v>3.6080701754322105E-2</v>
      </c>
      <c r="F23" s="243">
        <f t="shared" ref="F23:F32" si="3">D23*1.125</f>
        <v>0.18634980237146057</v>
      </c>
      <c r="G23" s="244">
        <f t="shared" ref="G23:G32" si="4">IF(C23=0,0,VLOOKUP(F23,Q38:R1951,2,1))</f>
        <v>0.1875</v>
      </c>
      <c r="H23" s="245">
        <f t="shared" ref="H23:H32" si="5">(IF(C23=0,0,(PI()*$E$9*B23*G23*$J$55/(12))))</f>
        <v>2773.437264492331</v>
      </c>
      <c r="I23" s="365">
        <f t="shared" ref="I23:I32" si="6">F23*0.875</f>
        <v>0.16305607707502801</v>
      </c>
      <c r="J23" s="247">
        <f>IF(B23=6,VLOOKUP($G$23,$N$2:$P$16,2,0),0)</f>
        <v>415</v>
      </c>
      <c r="K23" s="247">
        <f>IF(B23=8,VLOOKUP($G$23,$N$2:$P$16,3,0),0)</f>
        <v>0</v>
      </c>
      <c r="L23" s="366">
        <f t="shared" ref="L23:L32" si="7">IF(B23=6,J23,K23)</f>
        <v>415</v>
      </c>
      <c r="M23" s="367">
        <f>ROUNDUP((H23/2.20462)/L23,0)</f>
        <v>4</v>
      </c>
      <c r="N23" s="249"/>
      <c r="O23" s="249"/>
      <c r="P23" s="249"/>
      <c r="Q23" s="251"/>
      <c r="R23" s="252"/>
      <c r="S23" s="252"/>
      <c r="T23"/>
      <c r="U23" s="252"/>
      <c r="V23" s="252"/>
      <c r="W23" s="252"/>
    </row>
    <row r="24" spans="1:23">
      <c r="A24" s="362">
        <v>2</v>
      </c>
      <c r="B24" s="363">
        <f t="shared" ref="B24:B32" si="8">$B$23</f>
        <v>6</v>
      </c>
      <c r="C24" s="176">
        <f t="shared" ref="C24:C32" si="9">IF(C23-B23&lt;0,0,C23-B23)</f>
        <v>16</v>
      </c>
      <c r="D24" s="241">
        <f t="shared" si="1"/>
        <v>0.1540316205533083</v>
      </c>
      <c r="E24" s="242">
        <f t="shared" si="2"/>
        <v>2.5771929824515791E-2</v>
      </c>
      <c r="F24" s="243">
        <f t="shared" si="3"/>
        <v>0.17328557312247184</v>
      </c>
      <c r="G24" s="244">
        <f t="shared" si="4"/>
        <v>0.1875</v>
      </c>
      <c r="H24" s="245">
        <f t="shared" si="5"/>
        <v>2773.437264492331</v>
      </c>
      <c r="I24" s="365">
        <f t="shared" si="6"/>
        <v>0.15162487648216286</v>
      </c>
      <c r="J24" s="247">
        <f>IF(B24=6,VLOOKUP($G$24,$N$2:$P$16,2,0),0)</f>
        <v>415</v>
      </c>
      <c r="K24" s="247">
        <f>IF(B24=8,VLOOKUP($G$24,$N$2:$P$16,3,0),0)</f>
        <v>0</v>
      </c>
      <c r="L24" s="366">
        <f t="shared" si="7"/>
        <v>415</v>
      </c>
      <c r="M24" s="368">
        <f>ROUNDUP((H24/2.20462)/L24,0)</f>
        <v>4</v>
      </c>
      <c r="N24" s="249"/>
      <c r="O24" s="249"/>
      <c r="P24" s="249"/>
      <c r="Q24" s="251"/>
      <c r="R24" s="252"/>
      <c r="S24" s="252"/>
      <c r="T24"/>
      <c r="U24" s="252"/>
      <c r="V24" s="252"/>
      <c r="W24" s="252"/>
    </row>
    <row r="25" spans="1:23">
      <c r="A25" s="362">
        <v>3</v>
      </c>
      <c r="B25" s="176">
        <f t="shared" si="8"/>
        <v>6</v>
      </c>
      <c r="C25" s="176">
        <f t="shared" si="9"/>
        <v>10</v>
      </c>
      <c r="D25" s="241">
        <f t="shared" si="1"/>
        <v>0.14241897233198497</v>
      </c>
      <c r="E25" s="242">
        <f t="shared" si="2"/>
        <v>1.5463157894709475E-2</v>
      </c>
      <c r="F25" s="243">
        <f t="shared" si="3"/>
        <v>0.16022134387348308</v>
      </c>
      <c r="G25" s="244">
        <f t="shared" si="4"/>
        <v>0.1875</v>
      </c>
      <c r="H25" s="245">
        <f t="shared" si="5"/>
        <v>2773.437264492331</v>
      </c>
      <c r="I25" s="365">
        <f t="shared" si="6"/>
        <v>0.14019367588929771</v>
      </c>
      <c r="J25" s="247">
        <f>IF(B25=6,VLOOKUP($G$25,$N$2:$P$16,2,0),0)</f>
        <v>415</v>
      </c>
      <c r="K25" s="247">
        <f>IF(B25=8,VLOOKUP($G$25,$N$2:$P$16,3,0),0)</f>
        <v>0</v>
      </c>
      <c r="L25" s="366">
        <f t="shared" si="7"/>
        <v>415</v>
      </c>
      <c r="M25" s="368">
        <f>IF(G25=0,0,ROUNDUP((H25/2.20462)/L25,0))</f>
        <v>4</v>
      </c>
      <c r="N25" s="249"/>
      <c r="O25" s="249"/>
      <c r="P25" s="249"/>
      <c r="Q25" s="251"/>
      <c r="R25" s="252"/>
      <c r="S25" s="252"/>
      <c r="T25"/>
      <c r="U25" s="252"/>
      <c r="V25" s="252"/>
      <c r="W25" s="252"/>
    </row>
    <row r="26" spans="1:23">
      <c r="A26" s="362">
        <v>4</v>
      </c>
      <c r="B26" s="176">
        <f t="shared" si="8"/>
        <v>6</v>
      </c>
      <c r="C26" s="176">
        <f t="shared" si="9"/>
        <v>4</v>
      </c>
      <c r="D26" s="241">
        <f t="shared" si="1"/>
        <v>0.13080632411066165</v>
      </c>
      <c r="E26" s="242">
        <f t="shared" si="2"/>
        <v>5.1543859649031583E-3</v>
      </c>
      <c r="F26" s="243">
        <f t="shared" si="3"/>
        <v>0.14715711462449435</v>
      </c>
      <c r="G26" s="244">
        <f t="shared" si="4"/>
        <v>0.1875</v>
      </c>
      <c r="H26" s="245">
        <f t="shared" si="5"/>
        <v>2773.437264492331</v>
      </c>
      <c r="I26" s="365">
        <f t="shared" si="6"/>
        <v>0.12876247529643256</v>
      </c>
      <c r="J26" s="247">
        <f>IF(B26=6,VLOOKUP($G$26,$N$2:$P$16,2,0),0)</f>
        <v>415</v>
      </c>
      <c r="K26" s="247">
        <f>IF(B26=8,VLOOKUP($G$26,$N$2:$P$16,3,0),0)</f>
        <v>0</v>
      </c>
      <c r="L26" s="366">
        <f t="shared" si="7"/>
        <v>415</v>
      </c>
      <c r="M26" s="368">
        <f t="shared" ref="M26:M32" si="10">IF(G26=0,0,ROUNDUP((H26/2.2)/L26,0))</f>
        <v>4</v>
      </c>
      <c r="N26" s="249"/>
      <c r="O26" s="249"/>
      <c r="P26" s="249"/>
      <c r="Q26" s="251"/>
      <c r="R26" s="252"/>
      <c r="S26" s="252"/>
      <c r="T26"/>
      <c r="U26" s="252"/>
      <c r="V26" s="252"/>
      <c r="W26" s="252"/>
    </row>
    <row r="27" spans="1:23">
      <c r="A27" s="362">
        <v>5</v>
      </c>
      <c r="B27" s="176">
        <f t="shared" si="8"/>
        <v>6</v>
      </c>
      <c r="C27" s="176">
        <f t="shared" si="9"/>
        <v>0</v>
      </c>
      <c r="D27" s="241">
        <f t="shared" si="1"/>
        <v>0</v>
      </c>
      <c r="E27" s="242">
        <f t="shared" si="2"/>
        <v>-1.7181286549677194E-3</v>
      </c>
      <c r="F27" s="243">
        <f t="shared" si="3"/>
        <v>0</v>
      </c>
      <c r="G27" s="244">
        <f t="shared" si="4"/>
        <v>0</v>
      </c>
      <c r="H27" s="245">
        <f t="shared" si="5"/>
        <v>0</v>
      </c>
      <c r="I27" s="365">
        <f t="shared" si="6"/>
        <v>0</v>
      </c>
      <c r="J27" s="247">
        <f>IF(B27=6,VLOOKUP($G$27,$N$2:$P$16,2,0),0)</f>
        <v>0</v>
      </c>
      <c r="K27" s="247">
        <f>IF(B27=8,VLOOKUP($G$27,$N$2:$P$16,3,0),0)</f>
        <v>0</v>
      </c>
      <c r="L27" s="366">
        <f t="shared" si="7"/>
        <v>0</v>
      </c>
      <c r="M27" s="368">
        <f t="shared" si="10"/>
        <v>0</v>
      </c>
      <c r="N27" s="249"/>
      <c r="O27" s="249"/>
      <c r="P27" s="249"/>
      <c r="Q27" s="251"/>
      <c r="R27" s="252"/>
      <c r="S27" s="252"/>
      <c r="T27"/>
      <c r="U27" s="252"/>
      <c r="V27" s="252"/>
      <c r="W27" s="252"/>
    </row>
    <row r="28" spans="1:23">
      <c r="A28" s="362">
        <v>6</v>
      </c>
      <c r="B28" s="176">
        <f t="shared" si="8"/>
        <v>6</v>
      </c>
      <c r="C28" s="176">
        <f t="shared" si="9"/>
        <v>0</v>
      </c>
      <c r="D28" s="241">
        <f t="shared" si="1"/>
        <v>0</v>
      </c>
      <c r="E28" s="242">
        <f t="shared" si="2"/>
        <v>-1.7181286549677194E-3</v>
      </c>
      <c r="F28" s="243">
        <f t="shared" si="3"/>
        <v>0</v>
      </c>
      <c r="G28" s="244">
        <f t="shared" si="4"/>
        <v>0</v>
      </c>
      <c r="H28" s="245">
        <f t="shared" si="5"/>
        <v>0</v>
      </c>
      <c r="I28" s="365">
        <f t="shared" si="6"/>
        <v>0</v>
      </c>
      <c r="J28" s="247">
        <f>IF(B28=6,VLOOKUP($G$28,$N$2:$P$16,2,0),0)</f>
        <v>0</v>
      </c>
      <c r="K28" s="247">
        <f>IF(B28=8,VLOOKUP($G$28,$N$2:$P$16,3,0),0)</f>
        <v>0</v>
      </c>
      <c r="L28" s="366">
        <f t="shared" si="7"/>
        <v>0</v>
      </c>
      <c r="M28" s="368">
        <f t="shared" si="10"/>
        <v>0</v>
      </c>
      <c r="N28" s="249"/>
      <c r="O28" s="249"/>
      <c r="P28" s="249"/>
      <c r="Q28" s="251"/>
      <c r="R28" s="252"/>
      <c r="S28" s="252"/>
      <c r="T28"/>
      <c r="U28" s="252"/>
      <c r="V28" s="252"/>
      <c r="W28" s="252"/>
    </row>
    <row r="29" spans="1:23">
      <c r="A29" s="362">
        <v>7</v>
      </c>
      <c r="B29" s="176">
        <f t="shared" si="8"/>
        <v>6</v>
      </c>
      <c r="C29" s="176">
        <f t="shared" si="9"/>
        <v>0</v>
      </c>
      <c r="D29" s="241">
        <f t="shared" si="1"/>
        <v>0</v>
      </c>
      <c r="E29" s="242">
        <f>IF(C29=0,0,(2.6*$E$9*(C29-1))/$E$16)</f>
        <v>0</v>
      </c>
      <c r="F29" s="243">
        <f t="shared" si="3"/>
        <v>0</v>
      </c>
      <c r="G29" s="244">
        <f t="shared" si="4"/>
        <v>0</v>
      </c>
      <c r="H29" s="245">
        <f t="shared" si="5"/>
        <v>0</v>
      </c>
      <c r="I29" s="369">
        <f t="shared" si="6"/>
        <v>0</v>
      </c>
      <c r="J29" s="247">
        <f>IF(B29=6,VLOOKUP($G$29,$N$2:$P$16,2,0),0)</f>
        <v>0</v>
      </c>
      <c r="K29" s="247">
        <f>IF(B29=8,VLOOKUP($G$29,$N$2:$P$16,3,0),0)</f>
        <v>0</v>
      </c>
      <c r="L29" s="366">
        <f t="shared" si="7"/>
        <v>0</v>
      </c>
      <c r="M29" s="368">
        <f t="shared" si="10"/>
        <v>0</v>
      </c>
      <c r="N29" s="249"/>
      <c r="O29" s="249"/>
      <c r="P29" s="249"/>
      <c r="Q29" s="251"/>
      <c r="R29" s="252"/>
      <c r="S29" s="252"/>
      <c r="T29"/>
      <c r="U29" s="252"/>
      <c r="V29" s="252"/>
      <c r="W29" s="252"/>
    </row>
    <row r="30" spans="1:23">
      <c r="A30" s="362">
        <v>8</v>
      </c>
      <c r="B30" s="176">
        <f t="shared" si="8"/>
        <v>6</v>
      </c>
      <c r="C30" s="176">
        <f t="shared" si="9"/>
        <v>0</v>
      </c>
      <c r="D30" s="241">
        <f t="shared" si="1"/>
        <v>0</v>
      </c>
      <c r="E30" s="242">
        <f>IF(C30=0,0,(2.6*$E$9*(C30-1))/$E$16)</f>
        <v>0</v>
      </c>
      <c r="F30" s="243">
        <f t="shared" si="3"/>
        <v>0</v>
      </c>
      <c r="G30" s="244">
        <f t="shared" si="4"/>
        <v>0</v>
      </c>
      <c r="H30" s="245">
        <f t="shared" si="5"/>
        <v>0</v>
      </c>
      <c r="I30" s="369">
        <f t="shared" si="6"/>
        <v>0</v>
      </c>
      <c r="J30" s="247">
        <f>IF(B30=6,VLOOKUP($G$30,$N$2:$P$16,2,0),0)</f>
        <v>0</v>
      </c>
      <c r="K30" s="247">
        <f>IF(B30=8,VLOOKUP($G$30,$N$2:$P$16,3,0),0)</f>
        <v>0</v>
      </c>
      <c r="L30" s="366">
        <f t="shared" si="7"/>
        <v>0</v>
      </c>
      <c r="M30" s="368">
        <f t="shared" si="10"/>
        <v>0</v>
      </c>
      <c r="N30" s="249"/>
      <c r="O30" s="249"/>
      <c r="P30" s="249"/>
      <c r="Q30" s="251"/>
      <c r="R30" s="252"/>
      <c r="S30" s="252"/>
      <c r="T30"/>
      <c r="U30" s="252"/>
      <c r="V30" s="252"/>
      <c r="W30" s="252"/>
    </row>
    <row r="31" spans="1:23">
      <c r="A31" s="362">
        <v>9</v>
      </c>
      <c r="B31" s="176">
        <f t="shared" si="8"/>
        <v>6</v>
      </c>
      <c r="C31" s="176">
        <f t="shared" si="9"/>
        <v>0</v>
      </c>
      <c r="D31" s="241">
        <f t="shared" si="1"/>
        <v>0</v>
      </c>
      <c r="E31" s="242">
        <f>IF(C31=0,0,(2.6*$E$9*(C31-1))/$E$16)</f>
        <v>0</v>
      </c>
      <c r="F31" s="243">
        <f t="shared" si="3"/>
        <v>0</v>
      </c>
      <c r="G31" s="244">
        <f t="shared" si="4"/>
        <v>0</v>
      </c>
      <c r="H31" s="245">
        <f t="shared" si="5"/>
        <v>0</v>
      </c>
      <c r="I31" s="369">
        <f t="shared" si="6"/>
        <v>0</v>
      </c>
      <c r="J31" s="247">
        <f>IF(B31=6,VLOOKUP($G$31,$N$2:$P$16,2,0),0)</f>
        <v>0</v>
      </c>
      <c r="K31" s="247">
        <f>IF(B31=8,VLOOKUP($G$31,$N$2:$P$16,3,0),0)</f>
        <v>0</v>
      </c>
      <c r="L31" s="366">
        <f t="shared" si="7"/>
        <v>0</v>
      </c>
      <c r="M31" s="368">
        <f t="shared" si="10"/>
        <v>0</v>
      </c>
      <c r="N31" s="249"/>
      <c r="O31" s="249"/>
      <c r="P31" s="249"/>
      <c r="Q31" s="251"/>
      <c r="R31" s="252"/>
      <c r="S31" s="252"/>
      <c r="T31"/>
      <c r="U31" s="252"/>
      <c r="V31" s="252"/>
      <c r="W31" s="252"/>
    </row>
    <row r="32" spans="1:23">
      <c r="A32" s="362">
        <v>10</v>
      </c>
      <c r="B32" s="176">
        <f t="shared" si="8"/>
        <v>6</v>
      </c>
      <c r="C32" s="176">
        <f t="shared" si="9"/>
        <v>0</v>
      </c>
      <c r="D32" s="241">
        <f t="shared" si="1"/>
        <v>0</v>
      </c>
      <c r="E32" s="242">
        <f>IF(C32=0,0,(2.6*$E$9*(C32-1))/$E$16)</f>
        <v>0</v>
      </c>
      <c r="F32" s="243">
        <f t="shared" si="3"/>
        <v>0</v>
      </c>
      <c r="G32" s="244">
        <f t="shared" si="4"/>
        <v>0</v>
      </c>
      <c r="H32" s="245">
        <f t="shared" si="5"/>
        <v>0</v>
      </c>
      <c r="I32" s="369">
        <f t="shared" si="6"/>
        <v>0</v>
      </c>
      <c r="J32" s="247">
        <f>IF(B32=6,VLOOKUP($G$32,$N$2:$P$16,2,0),0)</f>
        <v>0</v>
      </c>
      <c r="K32" s="247">
        <f>IF(B32=8,VLOOKUP($G$32,$N$2:$P$16,3,0),0)</f>
        <v>0</v>
      </c>
      <c r="L32" s="366">
        <f t="shared" si="7"/>
        <v>0</v>
      </c>
      <c r="M32" s="368">
        <f t="shared" si="10"/>
        <v>0</v>
      </c>
      <c r="N32" s="249"/>
      <c r="O32" s="249"/>
      <c r="P32" s="249"/>
      <c r="Q32" s="251"/>
      <c r="R32" s="252"/>
      <c r="S32" s="252"/>
      <c r="T32"/>
      <c r="U32" s="252"/>
      <c r="V32" s="252"/>
      <c r="W32" s="252"/>
    </row>
    <row r="33" spans="1:23">
      <c r="A33" s="255"/>
      <c r="B33" s="162"/>
      <c r="C33" s="162"/>
      <c r="D33" s="162"/>
      <c r="E33" s="162"/>
      <c r="F33" s="162"/>
      <c r="G33" s="257" t="s">
        <v>1070</v>
      </c>
      <c r="H33" s="245">
        <f>(SUM(H23:H32))</f>
        <v>11093.749057969324</v>
      </c>
      <c r="I33" s="162"/>
      <c r="J33" s="162"/>
      <c r="K33" s="162"/>
      <c r="L33" s="162"/>
      <c r="M33" s="370">
        <f>SUM(M23:M32)</f>
        <v>16</v>
      </c>
      <c r="N33"/>
      <c r="O33"/>
      <c r="P33"/>
      <c r="Q33" s="371"/>
      <c r="R33"/>
      <c r="S33"/>
      <c r="T33"/>
      <c r="U33"/>
      <c r="V33" s="372"/>
      <c r="W33"/>
    </row>
    <row r="34" spans="1:23">
      <c r="A34" s="255"/>
      <c r="B34" s="162"/>
      <c r="C34" s="162"/>
      <c r="D34" s="162"/>
      <c r="E34" s="162"/>
      <c r="F34" s="162"/>
      <c r="G34" s="162"/>
      <c r="H34" s="260"/>
      <c r="I34" s="162"/>
      <c r="J34" s="162"/>
      <c r="K34" s="162"/>
      <c r="L34" s="162"/>
      <c r="M34" s="162"/>
      <c r="N34"/>
      <c r="O34"/>
      <c r="P34"/>
      <c r="Q34"/>
      <c r="R34"/>
      <c r="S34"/>
      <c r="T34"/>
      <c r="U34"/>
      <c r="V34"/>
      <c r="W34"/>
    </row>
    <row r="35" spans="1:23">
      <c r="A35" s="856" t="s">
        <v>1054</v>
      </c>
      <c r="B35" s="263" t="s">
        <v>1055</v>
      </c>
      <c r="C35" s="264" t="s">
        <v>1071</v>
      </c>
      <c r="D35" s="265" t="s">
        <v>1049</v>
      </c>
      <c r="E35" s="265" t="s">
        <v>1052</v>
      </c>
      <c r="F35" s="265" t="s">
        <v>1072</v>
      </c>
      <c r="G35" s="265" t="s">
        <v>1073</v>
      </c>
      <c r="H35" s="265" t="s">
        <v>1061</v>
      </c>
      <c r="I35" s="266" t="s">
        <v>1074</v>
      </c>
      <c r="J35" s="857" t="s">
        <v>1075</v>
      </c>
      <c r="K35" s="857"/>
      <c r="L35" s="857"/>
      <c r="M35" s="268" t="str">
        <f t="shared" ref="M35:M47" si="11">+M21</f>
        <v xml:space="preserve">No </v>
      </c>
      <c r="N35"/>
      <c r="O35"/>
      <c r="P35"/>
      <c r="Q35"/>
      <c r="R35"/>
      <c r="S35"/>
      <c r="T35"/>
      <c r="U35"/>
      <c r="V35"/>
      <c r="W35"/>
    </row>
    <row r="36" spans="1:23">
      <c r="A36" s="856"/>
      <c r="B36" s="269" t="s">
        <v>1028</v>
      </c>
      <c r="C36" s="270" t="s">
        <v>1028</v>
      </c>
      <c r="D36" s="235" t="s">
        <v>1028</v>
      </c>
      <c r="E36" s="235" t="s">
        <v>1036</v>
      </c>
      <c r="F36" s="235" t="s">
        <v>1036</v>
      </c>
      <c r="G36" s="235" t="s">
        <v>1036</v>
      </c>
      <c r="H36" s="235" t="s">
        <v>1076</v>
      </c>
      <c r="I36" s="235" t="s">
        <v>1036</v>
      </c>
      <c r="J36" s="235" t="s">
        <v>1066</v>
      </c>
      <c r="K36" s="235" t="s">
        <v>1067</v>
      </c>
      <c r="L36" s="235" t="s">
        <v>1068</v>
      </c>
      <c r="M36" s="268" t="str">
        <f t="shared" si="11"/>
        <v>Láminas</v>
      </c>
      <c r="N36"/>
      <c r="O36"/>
      <c r="P36"/>
      <c r="Q36"/>
      <c r="R36" s="184"/>
      <c r="S36" s="184"/>
      <c r="T36"/>
      <c r="U36"/>
      <c r="V36"/>
      <c r="W36"/>
    </row>
    <row r="37" spans="1:23">
      <c r="A37" s="362">
        <v>1</v>
      </c>
      <c r="B37" s="363">
        <f t="shared" ref="B37:B46" si="12">B23*0.3048</f>
        <v>1.8288000000000002</v>
      </c>
      <c r="C37" s="176">
        <f>C10</f>
        <v>6.4008000000000003</v>
      </c>
      <c r="D37" s="241">
        <f t="shared" ref="D37:D46" si="13">(4.9*$C$9*(C37-0.3)*$C$11)/$C$15+$C$12</f>
        <v>4.1669251928768567</v>
      </c>
      <c r="E37" s="241">
        <f>(4.9*C9*(C37-0.3))/C16</f>
        <v>0.88001568393690421</v>
      </c>
      <c r="F37" s="241">
        <f t="shared" ref="F37:G41" si="14">F23*25.4</f>
        <v>4.7332849802350978</v>
      </c>
      <c r="G37" s="241">
        <f t="shared" si="14"/>
        <v>4.7624999999999993</v>
      </c>
      <c r="H37" s="245">
        <f t="shared" ref="H37:H46" si="15">+H23/2.20462</f>
        <v>1258.0114779382984</v>
      </c>
      <c r="I37" s="245">
        <f t="shared" ref="I37:I46" si="16">+I23*25.4</f>
        <v>4.1416243577057115</v>
      </c>
      <c r="J37" s="247">
        <f t="shared" ref="J37:L46" si="17">+J23*2.20462</f>
        <v>914.91729999999995</v>
      </c>
      <c r="K37" s="247">
        <f t="shared" si="17"/>
        <v>0</v>
      </c>
      <c r="L37" s="273">
        <f t="shared" si="17"/>
        <v>914.91729999999995</v>
      </c>
      <c r="M37" s="254">
        <f t="shared" si="11"/>
        <v>4</v>
      </c>
      <c r="N37"/>
      <c r="O37"/>
      <c r="P37"/>
      <c r="Q37" s="167" t="s">
        <v>1073</v>
      </c>
      <c r="R37" s="373" t="s">
        <v>1077</v>
      </c>
      <c r="S37" s="237"/>
      <c r="T37" s="237"/>
      <c r="U37" s="237"/>
      <c r="V37" s="237"/>
      <c r="W37" s="237"/>
    </row>
    <row r="38" spans="1:23">
      <c r="A38" s="362">
        <v>2</v>
      </c>
      <c r="B38" s="176">
        <f t="shared" si="12"/>
        <v>1.8288000000000002</v>
      </c>
      <c r="C38" s="176">
        <f t="shared" ref="C38:C46" si="18">IF(C37-B37&lt;0,0,C37-B37)</f>
        <v>4.5720000000000001</v>
      </c>
      <c r="D38" s="241">
        <f t="shared" si="13"/>
        <v>3.8695817636981928</v>
      </c>
      <c r="E38" s="241">
        <f>(4.9*C9*(C38-0.3))/C16</f>
        <v>0.61621869292198639</v>
      </c>
      <c r="F38" s="241">
        <f t="shared" si="14"/>
        <v>4.4014535573107842</v>
      </c>
      <c r="G38" s="241">
        <f t="shared" si="14"/>
        <v>4.7624999999999993</v>
      </c>
      <c r="H38" s="245">
        <f t="shared" si="15"/>
        <v>1258.0114779382984</v>
      </c>
      <c r="I38" s="245">
        <f t="shared" si="16"/>
        <v>3.8512718626469362</v>
      </c>
      <c r="J38" s="247">
        <f t="shared" si="17"/>
        <v>914.91729999999995</v>
      </c>
      <c r="K38" s="247">
        <f t="shared" si="17"/>
        <v>0</v>
      </c>
      <c r="L38" s="273">
        <f t="shared" si="17"/>
        <v>914.91729999999995</v>
      </c>
      <c r="M38" s="254">
        <f t="shared" si="11"/>
        <v>4</v>
      </c>
      <c r="N38" s="274"/>
      <c r="O38"/>
      <c r="P38"/>
      <c r="Q38" s="374">
        <v>1E-3</v>
      </c>
      <c r="R38" s="206">
        <v>0.1875</v>
      </c>
      <c r="S38"/>
      <c r="T38"/>
      <c r="U38"/>
      <c r="V38"/>
      <c r="W38"/>
    </row>
    <row r="39" spans="1:23">
      <c r="A39" s="362">
        <v>3</v>
      </c>
      <c r="B39" s="176">
        <f t="shared" si="12"/>
        <v>1.8288000000000002</v>
      </c>
      <c r="C39" s="176">
        <f t="shared" si="18"/>
        <v>2.7431999999999999</v>
      </c>
      <c r="D39" s="241">
        <f t="shared" si="13"/>
        <v>3.5722383345195281</v>
      </c>
      <c r="E39" s="241">
        <f>(4.9*C9*(C39-0.3))/C16</f>
        <v>0.35242170190706862</v>
      </c>
      <c r="F39" s="241">
        <f t="shared" si="14"/>
        <v>4.0696221343864698</v>
      </c>
      <c r="G39" s="241">
        <f t="shared" si="14"/>
        <v>4.7624999999999993</v>
      </c>
      <c r="H39" s="245">
        <f t="shared" si="15"/>
        <v>1258.0114779382984</v>
      </c>
      <c r="I39" s="245">
        <f t="shared" si="16"/>
        <v>3.5609193675881614</v>
      </c>
      <c r="J39" s="247">
        <f t="shared" si="17"/>
        <v>914.91729999999995</v>
      </c>
      <c r="K39" s="247">
        <f t="shared" si="17"/>
        <v>0</v>
      </c>
      <c r="L39" s="273">
        <f t="shared" si="17"/>
        <v>914.91729999999995</v>
      </c>
      <c r="M39" s="254">
        <f t="shared" si="11"/>
        <v>4</v>
      </c>
      <c r="N39" s="274"/>
      <c r="O39"/>
      <c r="P39"/>
      <c r="Q39" s="374">
        <f t="shared" ref="Q39:Q102" si="19">Q38+0.001</f>
        <v>2E-3</v>
      </c>
      <c r="R39" s="206">
        <v>0.1875</v>
      </c>
      <c r="S39"/>
      <c r="T39"/>
      <c r="U39"/>
      <c r="V39"/>
      <c r="W39"/>
    </row>
    <row r="40" spans="1:23">
      <c r="A40" s="362">
        <v>4</v>
      </c>
      <c r="B40" s="176">
        <f t="shared" si="12"/>
        <v>1.8288000000000002</v>
      </c>
      <c r="C40" s="176">
        <f t="shared" si="18"/>
        <v>0.91439999999999966</v>
      </c>
      <c r="D40" s="241">
        <f t="shared" si="13"/>
        <v>3.2748949053408634</v>
      </c>
      <c r="E40" s="241">
        <f t="shared" ref="E40:E46" si="20">(4.9*$C$9*(C40-0.3))/$C$16</f>
        <v>8.8624710892150793E-2</v>
      </c>
      <c r="F40" s="241">
        <f t="shared" si="14"/>
        <v>3.7377907114621562</v>
      </c>
      <c r="G40" s="241">
        <f t="shared" si="14"/>
        <v>4.7624999999999993</v>
      </c>
      <c r="H40" s="245">
        <f t="shared" si="15"/>
        <v>1258.0114779382984</v>
      </c>
      <c r="I40" s="245">
        <f t="shared" si="16"/>
        <v>3.270566872529387</v>
      </c>
      <c r="J40" s="247">
        <f t="shared" si="17"/>
        <v>914.91729999999995</v>
      </c>
      <c r="K40" s="247">
        <f t="shared" si="17"/>
        <v>0</v>
      </c>
      <c r="L40" s="273">
        <f t="shared" si="17"/>
        <v>914.91729999999995</v>
      </c>
      <c r="M40" s="254">
        <f t="shared" si="11"/>
        <v>4</v>
      </c>
      <c r="N40" s="274"/>
      <c r="O40"/>
      <c r="P40"/>
      <c r="Q40" s="374">
        <f t="shared" si="19"/>
        <v>3.0000000000000001E-3</v>
      </c>
      <c r="R40" s="206">
        <v>0.1875</v>
      </c>
    </row>
    <row r="41" spans="1:23">
      <c r="A41" s="362">
        <v>5</v>
      </c>
      <c r="B41" s="176">
        <f t="shared" si="12"/>
        <v>1.8288000000000002</v>
      </c>
      <c r="C41" s="176">
        <f t="shared" si="18"/>
        <v>0</v>
      </c>
      <c r="D41" s="241">
        <f t="shared" si="13"/>
        <v>3.1262231907515314</v>
      </c>
      <c r="E41" s="241">
        <f t="shared" si="20"/>
        <v>-4.3273784615308029E-2</v>
      </c>
      <c r="F41" s="241">
        <f t="shared" si="14"/>
        <v>0</v>
      </c>
      <c r="G41" s="241">
        <f t="shared" si="14"/>
        <v>0</v>
      </c>
      <c r="H41" s="245">
        <f t="shared" si="15"/>
        <v>0</v>
      </c>
      <c r="I41" s="245">
        <f t="shared" si="16"/>
        <v>0</v>
      </c>
      <c r="J41" s="247">
        <f t="shared" si="17"/>
        <v>0</v>
      </c>
      <c r="K41" s="247">
        <f t="shared" si="17"/>
        <v>0</v>
      </c>
      <c r="L41" s="273">
        <f t="shared" si="17"/>
        <v>0</v>
      </c>
      <c r="M41" s="254">
        <f t="shared" si="11"/>
        <v>0</v>
      </c>
      <c r="N41" s="274"/>
      <c r="O41"/>
      <c r="P41"/>
      <c r="Q41" s="374">
        <f t="shared" si="19"/>
        <v>4.0000000000000001E-3</v>
      </c>
      <c r="R41" s="206">
        <v>0.1875</v>
      </c>
    </row>
    <row r="42" spans="1:23">
      <c r="A42" s="362">
        <v>6</v>
      </c>
      <c r="B42" s="176">
        <f t="shared" si="12"/>
        <v>1.8288000000000002</v>
      </c>
      <c r="C42" s="176">
        <f t="shared" si="18"/>
        <v>0</v>
      </c>
      <c r="D42" s="241">
        <f t="shared" si="13"/>
        <v>3.1262231907515314</v>
      </c>
      <c r="E42" s="241">
        <f t="shared" si="20"/>
        <v>-4.3273784615308029E-2</v>
      </c>
      <c r="F42" s="241">
        <f>F28*25.4</f>
        <v>0</v>
      </c>
      <c r="G42" s="241">
        <f>G27*25.4</f>
        <v>0</v>
      </c>
      <c r="H42" s="245">
        <f t="shared" si="15"/>
        <v>0</v>
      </c>
      <c r="I42" s="245">
        <f t="shared" si="16"/>
        <v>0</v>
      </c>
      <c r="J42" s="247">
        <f t="shared" si="17"/>
        <v>0</v>
      </c>
      <c r="K42" s="247">
        <f t="shared" si="17"/>
        <v>0</v>
      </c>
      <c r="L42" s="273">
        <f t="shared" si="17"/>
        <v>0</v>
      </c>
      <c r="M42" s="254">
        <f t="shared" si="11"/>
        <v>0</v>
      </c>
      <c r="N42" s="274"/>
      <c r="O42"/>
      <c r="P42"/>
      <c r="Q42" s="374">
        <f t="shared" si="19"/>
        <v>5.0000000000000001E-3</v>
      </c>
      <c r="R42" s="206">
        <v>0.1875</v>
      </c>
    </row>
    <row r="43" spans="1:23">
      <c r="A43" s="362">
        <v>7</v>
      </c>
      <c r="B43" s="176">
        <f t="shared" si="12"/>
        <v>1.8288000000000002</v>
      </c>
      <c r="C43" s="176">
        <f t="shared" si="18"/>
        <v>0</v>
      </c>
      <c r="D43" s="241">
        <f t="shared" si="13"/>
        <v>3.1262231907515314</v>
      </c>
      <c r="E43" s="241">
        <f t="shared" si="20"/>
        <v>-4.3273784615308029E-2</v>
      </c>
      <c r="F43" s="241">
        <f>F29*25.4</f>
        <v>0</v>
      </c>
      <c r="G43" s="241">
        <f>G29*25.4</f>
        <v>0</v>
      </c>
      <c r="H43" s="245">
        <f t="shared" si="15"/>
        <v>0</v>
      </c>
      <c r="I43" s="245">
        <f t="shared" si="16"/>
        <v>0</v>
      </c>
      <c r="J43" s="247">
        <f t="shared" si="17"/>
        <v>0</v>
      </c>
      <c r="K43" s="247">
        <f t="shared" si="17"/>
        <v>0</v>
      </c>
      <c r="L43" s="273">
        <f t="shared" si="17"/>
        <v>0</v>
      </c>
      <c r="M43" s="254">
        <f t="shared" si="11"/>
        <v>0</v>
      </c>
      <c r="N43" s="274"/>
      <c r="O43"/>
      <c r="P43"/>
      <c r="Q43" s="374">
        <f t="shared" si="19"/>
        <v>6.0000000000000001E-3</v>
      </c>
      <c r="R43" s="206">
        <v>0.1875</v>
      </c>
    </row>
    <row r="44" spans="1:23">
      <c r="A44" s="362">
        <v>8</v>
      </c>
      <c r="B44" s="176">
        <f t="shared" si="12"/>
        <v>1.8288000000000002</v>
      </c>
      <c r="C44" s="176">
        <f t="shared" si="18"/>
        <v>0</v>
      </c>
      <c r="D44" s="241">
        <f t="shared" si="13"/>
        <v>3.1262231907515314</v>
      </c>
      <c r="E44" s="241">
        <f t="shared" si="20"/>
        <v>-4.3273784615308029E-2</v>
      </c>
      <c r="F44" s="241">
        <f>F30*25.4</f>
        <v>0</v>
      </c>
      <c r="G44" s="241">
        <f>G30*25.4</f>
        <v>0</v>
      </c>
      <c r="H44" s="245">
        <f t="shared" si="15"/>
        <v>0</v>
      </c>
      <c r="I44" s="245">
        <f t="shared" si="16"/>
        <v>0</v>
      </c>
      <c r="J44" s="247">
        <f t="shared" si="17"/>
        <v>0</v>
      </c>
      <c r="K44" s="247">
        <f t="shared" si="17"/>
        <v>0</v>
      </c>
      <c r="L44" s="273">
        <f t="shared" si="17"/>
        <v>0</v>
      </c>
      <c r="M44" s="254">
        <f t="shared" si="11"/>
        <v>0</v>
      </c>
      <c r="N44" s="274"/>
      <c r="O44"/>
      <c r="P44"/>
      <c r="Q44" s="374">
        <f t="shared" si="19"/>
        <v>7.0000000000000001E-3</v>
      </c>
      <c r="R44" s="206">
        <v>0.1875</v>
      </c>
    </row>
    <row r="45" spans="1:23">
      <c r="A45" s="362">
        <v>9</v>
      </c>
      <c r="B45" s="176">
        <f t="shared" si="12"/>
        <v>1.8288000000000002</v>
      </c>
      <c r="C45" s="176">
        <f t="shared" si="18"/>
        <v>0</v>
      </c>
      <c r="D45" s="241">
        <f t="shared" si="13"/>
        <v>3.1262231907515314</v>
      </c>
      <c r="E45" s="241">
        <f t="shared" si="20"/>
        <v>-4.3273784615308029E-2</v>
      </c>
      <c r="F45" s="241">
        <f>F31*25.4</f>
        <v>0</v>
      </c>
      <c r="G45" s="241">
        <f>G31*25.4</f>
        <v>0</v>
      </c>
      <c r="H45" s="245">
        <f t="shared" si="15"/>
        <v>0</v>
      </c>
      <c r="I45" s="245">
        <f t="shared" si="16"/>
        <v>0</v>
      </c>
      <c r="J45" s="247">
        <f t="shared" si="17"/>
        <v>0</v>
      </c>
      <c r="K45" s="247">
        <f t="shared" si="17"/>
        <v>0</v>
      </c>
      <c r="L45" s="273">
        <f t="shared" si="17"/>
        <v>0</v>
      </c>
      <c r="M45" s="254">
        <f t="shared" si="11"/>
        <v>0</v>
      </c>
      <c r="N45" s="274"/>
      <c r="O45"/>
      <c r="P45"/>
      <c r="Q45" s="374">
        <f t="shared" si="19"/>
        <v>8.0000000000000002E-3</v>
      </c>
      <c r="R45" s="206">
        <v>0.1875</v>
      </c>
    </row>
    <row r="46" spans="1:23">
      <c r="A46" s="362">
        <v>10</v>
      </c>
      <c r="B46" s="176">
        <f t="shared" si="12"/>
        <v>1.8288000000000002</v>
      </c>
      <c r="C46" s="176">
        <f t="shared" si="18"/>
        <v>0</v>
      </c>
      <c r="D46" s="241">
        <f t="shared" si="13"/>
        <v>3.1262231907515314</v>
      </c>
      <c r="E46" s="241">
        <f t="shared" si="20"/>
        <v>-4.3273784615308029E-2</v>
      </c>
      <c r="F46" s="241">
        <f>F32*25.4</f>
        <v>0</v>
      </c>
      <c r="G46" s="241">
        <f>G32*25.4</f>
        <v>0</v>
      </c>
      <c r="H46" s="245">
        <f t="shared" si="15"/>
        <v>0</v>
      </c>
      <c r="I46" s="245">
        <f t="shared" si="16"/>
        <v>0</v>
      </c>
      <c r="J46" s="247">
        <f t="shared" si="17"/>
        <v>0</v>
      </c>
      <c r="K46" s="247">
        <f t="shared" si="17"/>
        <v>0</v>
      </c>
      <c r="L46" s="273">
        <f t="shared" si="17"/>
        <v>0</v>
      </c>
      <c r="M46" s="254">
        <f t="shared" si="11"/>
        <v>0</v>
      </c>
      <c r="N46" s="274"/>
      <c r="O46"/>
      <c r="P46"/>
      <c r="Q46" s="374">
        <f t="shared" si="19"/>
        <v>9.0000000000000011E-3</v>
      </c>
      <c r="R46" s="206">
        <v>0.1875</v>
      </c>
    </row>
    <row r="47" spans="1:23">
      <c r="A47" s="277"/>
      <c r="B47" s="278"/>
      <c r="C47" s="278"/>
      <c r="D47" s="279"/>
      <c r="E47" s="279"/>
      <c r="F47" s="279"/>
      <c r="G47" s="280" t="s">
        <v>1070</v>
      </c>
      <c r="H47" s="281">
        <f>(SUM(H37:H46))*1.05</f>
        <v>5283.6482073408533</v>
      </c>
      <c r="I47" s="282"/>
      <c r="J47" s="282"/>
      <c r="K47" s="282"/>
      <c r="L47" s="282"/>
      <c r="M47" s="283">
        <f t="shared" si="11"/>
        <v>16</v>
      </c>
      <c r="N47" s="274"/>
      <c r="O47"/>
      <c r="P47"/>
      <c r="Q47" s="374">
        <f t="shared" si="19"/>
        <v>1.0000000000000002E-2</v>
      </c>
      <c r="R47" s="206">
        <v>0.1875</v>
      </c>
    </row>
    <row r="48" spans="1:23">
      <c r="A48" s="260"/>
      <c r="B48" s="260"/>
      <c r="C48" s="260"/>
      <c r="D48" s="284"/>
      <c r="E48" s="284"/>
      <c r="F48" s="284"/>
      <c r="G48" s="162"/>
      <c r="H48" s="162"/>
      <c r="I48" s="162"/>
      <c r="J48" s="285"/>
      <c r="K48" s="162"/>
      <c r="L48" s="162"/>
      <c r="M48" s="162"/>
      <c r="N48" s="274"/>
      <c r="O48"/>
      <c r="P48"/>
      <c r="Q48" s="374">
        <f t="shared" si="19"/>
        <v>1.1000000000000003E-2</v>
      </c>
      <c r="R48" s="206">
        <v>0.1875</v>
      </c>
    </row>
    <row r="49" spans="1:18">
      <c r="A49" s="375"/>
      <c r="B49" s="375"/>
      <c r="C49" s="375"/>
      <c r="D49" s="375"/>
      <c r="E49" s="375"/>
      <c r="F49" s="375"/>
      <c r="G49" s="376" t="s">
        <v>1078</v>
      </c>
      <c r="H49" s="377"/>
      <c r="I49" s="377"/>
      <c r="J49" s="377"/>
      <c r="K49" s="378"/>
      <c r="L49"/>
      <c r="M49"/>
      <c r="N49" s="274"/>
      <c r="O49"/>
      <c r="P49"/>
      <c r="Q49" s="374">
        <f t="shared" si="19"/>
        <v>1.2000000000000004E-2</v>
      </c>
      <c r="R49" s="206">
        <v>0.1875</v>
      </c>
    </row>
    <row r="50" spans="1:18">
      <c r="A50" s="379"/>
      <c r="B50" s="380"/>
      <c r="C50" s="381"/>
      <c r="D50" s="382"/>
      <c r="E50" s="383"/>
      <c r="F50" s="384"/>
      <c r="G50" s="385"/>
      <c r="H50" s="386" t="s">
        <v>1024</v>
      </c>
      <c r="I50" s="387"/>
      <c r="J50" s="386" t="s">
        <v>1025</v>
      </c>
      <c r="K50" s="387"/>
      <c r="L50"/>
      <c r="M50"/>
      <c r="N50" s="274"/>
      <c r="O50"/>
      <c r="P50"/>
      <c r="Q50" s="374">
        <f t="shared" si="19"/>
        <v>1.3000000000000005E-2</v>
      </c>
      <c r="R50" s="206">
        <v>0.1875</v>
      </c>
    </row>
    <row r="51" spans="1:18">
      <c r="A51" s="379"/>
      <c r="B51" s="380"/>
      <c r="C51" s="388"/>
      <c r="D51" s="382"/>
      <c r="E51" s="383"/>
      <c r="F51" s="384"/>
      <c r="G51" s="389" t="s">
        <v>1079</v>
      </c>
      <c r="H51" s="304">
        <v>0.375</v>
      </c>
      <c r="I51" s="308" t="s">
        <v>1040</v>
      </c>
      <c r="J51" s="390">
        <f>H51*25.4</f>
        <v>9.5249999999999986</v>
      </c>
      <c r="K51" s="204" t="s">
        <v>1036</v>
      </c>
      <c r="L51"/>
      <c r="M51"/>
      <c r="N51" s="274"/>
      <c r="O51"/>
      <c r="P51"/>
      <c r="Q51" s="374">
        <f t="shared" si="19"/>
        <v>1.4000000000000005E-2</v>
      </c>
      <c r="R51" s="206">
        <v>0.1875</v>
      </c>
    </row>
    <row r="52" spans="1:18">
      <c r="A52" s="379"/>
      <c r="B52" s="380"/>
      <c r="C52" s="391"/>
      <c r="D52" s="392"/>
      <c r="E52" s="383"/>
      <c r="F52" s="392"/>
      <c r="G52" s="393" t="s">
        <v>1080</v>
      </c>
      <c r="H52" s="394">
        <f>G50+E12</f>
        <v>0.125</v>
      </c>
      <c r="I52" s="395" t="s">
        <v>1040</v>
      </c>
      <c r="J52" s="273">
        <f>H52*25.4</f>
        <v>3.1749999999999998</v>
      </c>
      <c r="K52" s="174" t="s">
        <v>1036</v>
      </c>
      <c r="L52"/>
      <c r="M52"/>
      <c r="N52" s="274"/>
      <c r="O52"/>
      <c r="P52"/>
      <c r="Q52" s="374">
        <f t="shared" si="19"/>
        <v>1.5000000000000006E-2</v>
      </c>
      <c r="R52" s="206">
        <v>0.1875</v>
      </c>
    </row>
    <row r="53" spans="1:18">
      <c r="A53" s="379"/>
      <c r="B53" s="380"/>
      <c r="C53" s="396"/>
      <c r="D53" s="397"/>
      <c r="E53" s="398"/>
      <c r="F53" s="397"/>
      <c r="G53" s="393" t="s">
        <v>1081</v>
      </c>
      <c r="H53" s="304">
        <v>0.5</v>
      </c>
      <c r="I53" s="399" t="s">
        <v>1040</v>
      </c>
      <c r="J53" s="273">
        <f>H53*25.4</f>
        <v>12.7</v>
      </c>
      <c r="K53" s="174" t="s">
        <v>1036</v>
      </c>
      <c r="L53"/>
      <c r="M53"/>
      <c r="N53" s="274"/>
      <c r="O53"/>
      <c r="P53"/>
      <c r="Q53" s="374">
        <f t="shared" si="19"/>
        <v>1.6000000000000007E-2</v>
      </c>
      <c r="R53" s="206">
        <v>0.1875</v>
      </c>
    </row>
    <row r="54" spans="1:18">
      <c r="A54" s="400"/>
      <c r="B54" s="400"/>
      <c r="C54" s="400"/>
      <c r="D54" s="400"/>
      <c r="E54" s="401"/>
      <c r="F54" s="400"/>
      <c r="G54" s="402" t="s">
        <v>1082</v>
      </c>
      <c r="H54" s="393"/>
      <c r="I54" s="173">
        <f>TANH(1/120)*180/PI()</f>
        <v>0.47745377715608556</v>
      </c>
      <c r="J54" s="195" t="s">
        <v>1083</v>
      </c>
      <c r="K54" s="174"/>
      <c r="L54"/>
      <c r="M54"/>
      <c r="N54" s="274"/>
      <c r="O54"/>
      <c r="P54"/>
      <c r="Q54" s="374">
        <f t="shared" si="19"/>
        <v>1.7000000000000008E-2</v>
      </c>
      <c r="R54" s="206">
        <v>0.1875</v>
      </c>
    </row>
    <row r="55" spans="1:18">
      <c r="A55" s="379"/>
      <c r="B55" s="380"/>
      <c r="C55" s="403"/>
      <c r="D55" s="384"/>
      <c r="E55" s="158"/>
      <c r="F55" s="375"/>
      <c r="G55" s="404" t="s">
        <v>1084</v>
      </c>
      <c r="H55" s="405">
        <v>7850</v>
      </c>
      <c r="I55" s="406" t="s">
        <v>1085</v>
      </c>
      <c r="J55" s="405">
        <v>500</v>
      </c>
      <c r="K55" s="183" t="s">
        <v>1086</v>
      </c>
      <c r="L55"/>
      <c r="M55"/>
      <c r="N55" s="274"/>
      <c r="O55"/>
      <c r="P55"/>
      <c r="Q55" s="374">
        <f t="shared" si="19"/>
        <v>1.8000000000000009E-2</v>
      </c>
      <c r="R55" s="206">
        <v>0.1875</v>
      </c>
    </row>
    <row r="56" spans="1:18">
      <c r="A56" s="379"/>
      <c r="B56" s="380"/>
      <c r="C56" s="407"/>
      <c r="D56" s="384"/>
      <c r="E56" s="408"/>
      <c r="F56" s="384"/>
      <c r="G56" s="409" t="s">
        <v>1087</v>
      </c>
      <c r="H56" s="309" t="s">
        <v>1088</v>
      </c>
      <c r="I56" s="174" t="s">
        <v>1028</v>
      </c>
      <c r="J56" s="304">
        <f>(J58^2-J57^2)^0.5</f>
        <v>8.2638888862229448E-2</v>
      </c>
      <c r="K56" s="174" t="s">
        <v>1029</v>
      </c>
      <c r="L56"/>
      <c r="M56"/>
      <c r="N56" s="274"/>
      <c r="O56"/>
      <c r="P56"/>
      <c r="Q56" s="374">
        <f t="shared" si="19"/>
        <v>1.900000000000001E-2</v>
      </c>
      <c r="R56" s="206">
        <v>0.1875</v>
      </c>
    </row>
    <row r="57" spans="1:18">
      <c r="A57" s="400"/>
      <c r="B57" s="400"/>
      <c r="C57" s="400"/>
      <c r="D57" s="400"/>
      <c r="E57" s="400"/>
      <c r="F57" s="400"/>
      <c r="G57" s="409" t="s">
        <v>1089</v>
      </c>
      <c r="H57" s="306">
        <f>J57*0.3048</f>
        <v>3.0225999999949202</v>
      </c>
      <c r="I57" s="307" t="s">
        <v>1028</v>
      </c>
      <c r="J57" s="306">
        <f>E9/2+0.5</f>
        <v>9.9166666666500003</v>
      </c>
      <c r="K57" s="183" t="s">
        <v>1029</v>
      </c>
      <c r="L57"/>
      <c r="M57"/>
      <c r="N57" s="274"/>
      <c r="O57"/>
      <c r="P57"/>
      <c r="Q57" s="374">
        <f t="shared" si="19"/>
        <v>2.0000000000000011E-2</v>
      </c>
      <c r="R57" s="206">
        <v>0.1875</v>
      </c>
    </row>
    <row r="58" spans="1:18">
      <c r="A58" s="858"/>
      <c r="B58" s="858"/>
      <c r="C58" s="392"/>
      <c r="D58" s="392"/>
      <c r="E58" s="392"/>
      <c r="F58" s="392"/>
      <c r="G58" s="409" t="s">
        <v>1088</v>
      </c>
      <c r="H58" s="304">
        <f>H57/(COS(I54*PI()/180))</f>
        <v>3.022704949561732</v>
      </c>
      <c r="I58" s="308" t="s">
        <v>1028</v>
      </c>
      <c r="J58" s="304">
        <f>H58/0.3048</f>
        <v>9.9170109893757612</v>
      </c>
      <c r="K58" s="174" t="s">
        <v>1029</v>
      </c>
      <c r="L58"/>
      <c r="M58"/>
      <c r="N58" s="274"/>
      <c r="O58"/>
      <c r="P58"/>
      <c r="Q58" s="374">
        <f t="shared" si="19"/>
        <v>2.1000000000000012E-2</v>
      </c>
      <c r="R58" s="206">
        <v>0.1875</v>
      </c>
    </row>
    <row r="59" spans="1:18">
      <c r="A59" s="410"/>
      <c r="B59" s="379"/>
      <c r="C59" s="411"/>
      <c r="D59" s="392"/>
      <c r="E59" s="412"/>
      <c r="F59" s="412"/>
      <c r="G59" s="409" t="s">
        <v>1090</v>
      </c>
      <c r="H59" s="306">
        <f>(PI()*H58^2)</f>
        <v>28.703931636070759</v>
      </c>
      <c r="I59" s="307" t="s">
        <v>1091</v>
      </c>
      <c r="J59" s="306">
        <f>((PI()*J58^2))</f>
        <v>308.96654873802578</v>
      </c>
      <c r="K59" s="183" t="s">
        <v>1092</v>
      </c>
      <c r="L59"/>
      <c r="M59"/>
      <c r="N59" s="274"/>
      <c r="O59"/>
      <c r="P59"/>
      <c r="Q59" s="374">
        <f t="shared" si="19"/>
        <v>2.2000000000000013E-2</v>
      </c>
      <c r="R59" s="206">
        <v>0.1875</v>
      </c>
    </row>
    <row r="60" spans="1:18">
      <c r="A60" s="379"/>
      <c r="B60" s="380"/>
      <c r="C60" s="411"/>
      <c r="D60" s="392"/>
      <c r="E60" s="412"/>
      <c r="F60" s="412"/>
      <c r="G60" s="409" t="s">
        <v>1093</v>
      </c>
      <c r="H60" s="310">
        <f>J53</f>
        <v>12.7</v>
      </c>
      <c r="I60" s="308" t="s">
        <v>1036</v>
      </c>
      <c r="J60" s="311">
        <f>H52</f>
        <v>0.125</v>
      </c>
      <c r="K60" s="174" t="s">
        <v>1040</v>
      </c>
      <c r="L60"/>
      <c r="M60"/>
      <c r="N60" s="274"/>
      <c r="O60"/>
      <c r="P60"/>
      <c r="Q60" s="374">
        <f t="shared" si="19"/>
        <v>2.3000000000000013E-2</v>
      </c>
      <c r="R60" s="206">
        <v>0.1875</v>
      </c>
    </row>
    <row r="61" spans="1:18">
      <c r="A61" s="413"/>
      <c r="B61" s="413"/>
      <c r="C61" s="413"/>
      <c r="D61" s="392"/>
      <c r="E61" s="392"/>
      <c r="F61" s="392"/>
      <c r="G61" s="409" t="s">
        <v>1094</v>
      </c>
      <c r="H61" s="304">
        <f>H59*H60/1000</f>
        <v>0.36453993177809862</v>
      </c>
      <c r="I61" s="308" t="s">
        <v>1020</v>
      </c>
      <c r="J61" s="304">
        <f>J59*J60/12</f>
        <v>3.2184015493544353</v>
      </c>
      <c r="K61" s="174" t="s">
        <v>1095</v>
      </c>
      <c r="L61"/>
      <c r="M61"/>
      <c r="N61" s="274"/>
      <c r="O61"/>
      <c r="P61"/>
      <c r="Q61" s="374">
        <f t="shared" si="19"/>
        <v>2.4000000000000014E-2</v>
      </c>
      <c r="R61" s="206">
        <v>0.1875</v>
      </c>
    </row>
    <row r="62" spans="1:18">
      <c r="A62" s="379"/>
      <c r="B62" s="380"/>
      <c r="C62" s="158"/>
      <c r="D62" s="184"/>
      <c r="E62" s="414"/>
      <c r="F62" s="384"/>
      <c r="G62" s="415" t="s">
        <v>1096</v>
      </c>
      <c r="H62" s="314">
        <f>+J62</f>
        <v>2.9</v>
      </c>
      <c r="I62" s="315"/>
      <c r="J62" s="314">
        <f>ROUNDUP((J59/(IF(B23=6,(6*20),(8*20))))*1.1,1)</f>
        <v>2.9</v>
      </c>
      <c r="K62" s="204"/>
      <c r="L62"/>
      <c r="M62"/>
      <c r="N62" s="274"/>
      <c r="O62"/>
      <c r="P62"/>
      <c r="Q62" s="374">
        <f t="shared" si="19"/>
        <v>2.5000000000000015E-2</v>
      </c>
      <c r="R62" s="206">
        <v>0.1875</v>
      </c>
    </row>
    <row r="63" spans="1:18">
      <c r="A63" s="379"/>
      <c r="B63" s="380"/>
      <c r="C63" s="416"/>
      <c r="D63" s="384"/>
      <c r="E63" s="411"/>
      <c r="F63" s="392"/>
      <c r="G63" s="417" t="s">
        <v>1097</v>
      </c>
      <c r="H63" s="418">
        <f>(H61*H55)*1.05</f>
        <v>3004.7203876809781</v>
      </c>
      <c r="I63" s="308" t="s">
        <v>1076</v>
      </c>
      <c r="J63" s="304">
        <f>(J61*J55)*1.1</f>
        <v>1770.1208521449396</v>
      </c>
      <c r="K63" s="174" t="s">
        <v>1098</v>
      </c>
      <c r="L63"/>
      <c r="M63"/>
      <c r="N63" s="274"/>
      <c r="O63"/>
      <c r="P63"/>
      <c r="Q63" s="374">
        <f t="shared" si="19"/>
        <v>2.6000000000000016E-2</v>
      </c>
      <c r="R63" s="206">
        <v>0.1875</v>
      </c>
    </row>
    <row r="64" spans="1:18" ht="27" customHeight="1">
      <c r="A64" s="375"/>
      <c r="B64" s="419"/>
      <c r="C64" s="419"/>
      <c r="D64" s="420"/>
      <c r="E64" s="420"/>
      <c r="F64" s="420"/>
      <c r="G64" s="421"/>
      <c r="H64" s="422"/>
      <c r="I64" s="250"/>
      <c r="J64" s="423"/>
      <c r="K64" s="184"/>
      <c r="L64"/>
      <c r="M64"/>
      <c r="N64" s="274"/>
      <c r="O64"/>
      <c r="P64"/>
      <c r="Q64" s="374">
        <f t="shared" si="19"/>
        <v>2.7000000000000017E-2</v>
      </c>
      <c r="R64" s="206">
        <v>0.1875</v>
      </c>
    </row>
    <row r="65" spans="1:18">
      <c r="A65" s="379"/>
      <c r="B65" s="380"/>
      <c r="C65" s="416"/>
      <c r="D65" s="384"/>
      <c r="E65" s="424"/>
      <c r="F65" s="392"/>
      <c r="G65" s="332"/>
      <c r="H65" s="234"/>
      <c r="I65" s="234"/>
      <c r="J65" s="234"/>
      <c r="K65" s="237"/>
      <c r="L65"/>
      <c r="M65"/>
      <c r="N65" s="274"/>
      <c r="O65"/>
      <c r="P65"/>
      <c r="Q65" s="374">
        <f t="shared" si="19"/>
        <v>2.8000000000000018E-2</v>
      </c>
      <c r="R65" s="206">
        <v>0.1875</v>
      </c>
    </row>
    <row r="66" spans="1:18">
      <c r="A66" s="379"/>
      <c r="B66" s="380"/>
      <c r="C66" s="416"/>
      <c r="D66" s="384"/>
      <c r="E66" s="424"/>
      <c r="F66" s="392"/>
      <c r="G66" s="421"/>
      <c r="H66" s="249"/>
      <c r="I66" s="335"/>
      <c r="J66" s="249"/>
      <c r="K66" s="338"/>
      <c r="L66"/>
      <c r="M66"/>
      <c r="N66" s="274"/>
      <c r="O66"/>
      <c r="P66"/>
      <c r="Q66" s="374">
        <f t="shared" si="19"/>
        <v>2.9000000000000019E-2</v>
      </c>
      <c r="R66" s="206">
        <v>0.1875</v>
      </c>
    </row>
    <row r="67" spans="1:18">
      <c r="A67" s="379"/>
      <c r="B67" s="380"/>
      <c r="C67" s="425"/>
      <c r="D67" s="384"/>
      <c r="E67" s="424"/>
      <c r="F67" s="392"/>
      <c r="G67" s="421"/>
      <c r="H67" s="337"/>
      <c r="I67" s="335"/>
      <c r="J67" s="249"/>
      <c r="K67" s="338"/>
      <c r="L67"/>
      <c r="M67"/>
      <c r="N67" s="274"/>
      <c r="O67"/>
      <c r="P67"/>
      <c r="Q67" s="374">
        <f t="shared" si="19"/>
        <v>3.000000000000002E-2</v>
      </c>
      <c r="R67" s="206">
        <v>0.1875</v>
      </c>
    </row>
    <row r="68" spans="1:18" ht="12.75" customHeight="1">
      <c r="A68" s="379"/>
      <c r="B68" s="380"/>
      <c r="C68" s="425"/>
      <c r="D68" s="384"/>
      <c r="E68" s="424"/>
      <c r="F68" s="392"/>
      <c r="G68" s="421"/>
      <c r="H68" s="250"/>
      <c r="I68" s="339"/>
      <c r="J68" s="249"/>
      <c r="K68" s="338"/>
      <c r="L68" s="392"/>
      <c r="M68"/>
      <c r="N68" s="274"/>
      <c r="O68"/>
      <c r="P68"/>
      <c r="Q68" s="426">
        <f t="shared" si="19"/>
        <v>3.1000000000000021E-2</v>
      </c>
      <c r="R68" s="427">
        <v>0.1875</v>
      </c>
    </row>
    <row r="69" spans="1:18" s="159" customFormat="1" ht="12.75" customHeight="1">
      <c r="A69" s="428"/>
      <c r="B69" s="428"/>
      <c r="C69" s="429"/>
      <c r="D69" s="430"/>
      <c r="E69" s="431"/>
      <c r="F69" s="432"/>
      <c r="G69" s="392"/>
      <c r="H69" s="392"/>
      <c r="I69" s="392"/>
      <c r="J69" s="392"/>
      <c r="K69" s="392"/>
      <c r="L69" s="392"/>
      <c r="M69"/>
      <c r="N69"/>
      <c r="O69" s="274"/>
      <c r="P69"/>
      <c r="Q69" s="433">
        <f t="shared" si="19"/>
        <v>3.2000000000000021E-2</v>
      </c>
      <c r="R69" s="340">
        <v>0.1875</v>
      </c>
    </row>
    <row r="70" spans="1:18">
      <c r="A70" s="375"/>
      <c r="B70" s="375"/>
      <c r="C70" s="375"/>
      <c r="D70" s="420"/>
      <c r="E70" s="420"/>
      <c r="F70" s="420"/>
      <c r="G70" s="392"/>
      <c r="H70" s="392"/>
      <c r="I70" s="392"/>
      <c r="J70" s="392"/>
      <c r="K70" s="392"/>
      <c r="L70" s="392"/>
      <c r="M70"/>
      <c r="N70"/>
      <c r="O70" s="274"/>
      <c r="P70"/>
      <c r="Q70" s="434">
        <f t="shared" si="19"/>
        <v>3.3000000000000022E-2</v>
      </c>
      <c r="R70" s="435">
        <v>0.1875</v>
      </c>
    </row>
    <row r="71" spans="1:18" ht="12.75" customHeight="1">
      <c r="A71" s="379"/>
      <c r="B71" s="436"/>
      <c r="C71" s="437"/>
      <c r="D71" s="437"/>
      <c r="E71" s="437"/>
      <c r="F71" s="437"/>
      <c r="G71" s="437"/>
      <c r="H71" s="437"/>
      <c r="I71" s="392"/>
      <c r="J71" s="392"/>
      <c r="K71" s="392"/>
      <c r="L71" s="392"/>
      <c r="M71"/>
      <c r="N71"/>
      <c r="O71" s="274"/>
      <c r="P71"/>
      <c r="Q71" s="374">
        <f t="shared" si="19"/>
        <v>3.4000000000000023E-2</v>
      </c>
      <c r="R71" s="206">
        <v>0.1875</v>
      </c>
    </row>
    <row r="72" spans="1:18" ht="12.75" customHeight="1">
      <c r="A72" s="379"/>
      <c r="B72" s="436"/>
      <c r="C72" s="392"/>
      <c r="D72" s="392"/>
      <c r="E72" s="392"/>
      <c r="F72" s="392"/>
      <c r="G72" s="392"/>
      <c r="H72" s="392"/>
      <c r="I72" s="392"/>
      <c r="J72" s="392"/>
      <c r="K72" s="392"/>
      <c r="L72" s="392"/>
      <c r="M72"/>
      <c r="N72"/>
      <c r="O72" s="274"/>
      <c r="P72"/>
      <c r="Q72" s="374">
        <f t="shared" si="19"/>
        <v>3.5000000000000024E-2</v>
      </c>
      <c r="R72" s="206">
        <v>0.1875</v>
      </c>
    </row>
    <row r="73" spans="1:18">
      <c r="A73" s="379"/>
      <c r="B73" s="419"/>
      <c r="C73" s="437"/>
      <c r="D73" s="437"/>
      <c r="E73" s="437"/>
      <c r="F73" s="437"/>
      <c r="G73" s="437"/>
      <c r="H73" s="437"/>
      <c r="I73" s="392"/>
      <c r="J73" s="392"/>
      <c r="K73" s="392"/>
      <c r="L73" s="392"/>
      <c r="M73"/>
      <c r="N73"/>
      <c r="O73" s="274"/>
      <c r="P73"/>
      <c r="Q73" s="374">
        <f t="shared" si="19"/>
        <v>3.6000000000000025E-2</v>
      </c>
      <c r="R73" s="206">
        <v>0.1875</v>
      </c>
    </row>
    <row r="74" spans="1:18">
      <c r="A74" s="379"/>
      <c r="B74" s="420"/>
      <c r="C74" s="438"/>
      <c r="D74" s="430"/>
      <c r="E74" s="439"/>
      <c r="F74" s="439"/>
      <c r="G74" s="392"/>
      <c r="H74" s="392"/>
      <c r="I74" s="392"/>
      <c r="J74" s="392"/>
      <c r="K74" s="392"/>
      <c r="L74" s="392"/>
      <c r="M74"/>
      <c r="N74"/>
      <c r="O74" s="274"/>
      <c r="P74"/>
      <c r="Q74" s="374">
        <f t="shared" si="19"/>
        <v>3.7000000000000026E-2</v>
      </c>
      <c r="R74" s="206">
        <v>0.1875</v>
      </c>
    </row>
    <row r="75" spans="1:18">
      <c r="A75" s="379"/>
      <c r="B75" s="379"/>
      <c r="C75" s="440"/>
      <c r="D75" s="384"/>
      <c r="E75" s="440"/>
      <c r="F75" s="384"/>
      <c r="G75"/>
      <c r="H75"/>
      <c r="I75" s="352"/>
      <c r="J75" s="392"/>
      <c r="K75" s="392"/>
      <c r="L75" s="392"/>
      <c r="M75"/>
      <c r="N75"/>
      <c r="O75" s="274"/>
      <c r="P75"/>
      <c r="Q75" s="374">
        <f t="shared" si="19"/>
        <v>3.8000000000000027E-2</v>
      </c>
      <c r="R75" s="206">
        <v>0.1875</v>
      </c>
    </row>
    <row r="76" spans="1:18" ht="12.75" customHeight="1">
      <c r="A76" s="379"/>
      <c r="B76" s="379"/>
      <c r="C76" s="441"/>
      <c r="D76" s="384"/>
      <c r="E76" s="441"/>
      <c r="F76" s="384"/>
      <c r="G76"/>
      <c r="H76"/>
      <c r="I76" s="352"/>
      <c r="J76" s="392"/>
      <c r="K76" s="392"/>
      <c r="L76" s="392"/>
      <c r="M76"/>
      <c r="N76"/>
      <c r="O76" s="274"/>
      <c r="P76"/>
      <c r="Q76" s="374">
        <f t="shared" si="19"/>
        <v>3.9000000000000028E-2</v>
      </c>
      <c r="R76" s="206">
        <v>0.1875</v>
      </c>
    </row>
    <row r="77" spans="1:18">
      <c r="A77" s="379"/>
      <c r="B77" s="379"/>
      <c r="C77" s="441"/>
      <c r="D77" s="384"/>
      <c r="E77" s="441"/>
      <c r="F77" s="384"/>
      <c r="G77"/>
      <c r="H77"/>
      <c r="I77" s="352"/>
      <c r="J77" s="392"/>
      <c r="K77" s="392"/>
      <c r="L77" s="392"/>
      <c r="M77"/>
      <c r="N77"/>
      <c r="O77" s="274"/>
      <c r="P77"/>
      <c r="Q77" s="374">
        <f t="shared" si="19"/>
        <v>4.0000000000000029E-2</v>
      </c>
      <c r="R77" s="206">
        <v>0.1875</v>
      </c>
    </row>
    <row r="78" spans="1:18" ht="12.75" customHeight="1">
      <c r="A78" s="379"/>
      <c r="B78" s="379"/>
      <c r="C78" s="440"/>
      <c r="D78" s="437"/>
      <c r="E78" s="440"/>
      <c r="F78" s="384"/>
      <c r="G78"/>
      <c r="H78" s="392"/>
      <c r="I78" s="392"/>
      <c r="J78" s="392"/>
      <c r="K78" s="392"/>
      <c r="L78" s="392"/>
      <c r="M78"/>
      <c r="N78"/>
      <c r="O78" s="274"/>
      <c r="P78"/>
      <c r="Q78" s="374">
        <f t="shared" si="19"/>
        <v>4.1000000000000029E-2</v>
      </c>
      <c r="R78" s="206">
        <v>0.1875</v>
      </c>
    </row>
    <row r="79" spans="1:18" ht="25.5" customHeight="1">
      <c r="A79" s="442"/>
      <c r="B79" s="379"/>
      <c r="C79" s="414"/>
      <c r="D79" s="384"/>
      <c r="E79" s="443"/>
      <c r="F79" s="384"/>
      <c r="G79" s="392"/>
      <c r="H79" s="392"/>
      <c r="I79" s="392"/>
      <c r="J79" s="444"/>
      <c r="K79" s="392"/>
      <c r="L79" s="392"/>
      <c r="M79"/>
      <c r="N79"/>
      <c r="O79" s="274"/>
      <c r="P79"/>
      <c r="Q79" s="374">
        <f t="shared" si="19"/>
        <v>4.200000000000003E-2</v>
      </c>
      <c r="R79" s="206">
        <v>0.1875</v>
      </c>
    </row>
    <row r="80" spans="1:18">
      <c r="A80" s="428"/>
      <c r="B80" s="428"/>
      <c r="C80" s="429"/>
      <c r="D80" s="430"/>
      <c r="E80" s="429"/>
      <c r="F80" s="430"/>
      <c r="G80" s="437"/>
      <c r="H80" s="437"/>
      <c r="I80" s="392"/>
      <c r="J80" s="392"/>
      <c r="K80" s="392"/>
      <c r="L80" s="392"/>
      <c r="M80"/>
      <c r="N80"/>
      <c r="O80" s="274"/>
      <c r="P80"/>
      <c r="Q80" s="374">
        <f t="shared" si="19"/>
        <v>4.3000000000000031E-2</v>
      </c>
      <c r="R80" s="206">
        <v>0.1875</v>
      </c>
    </row>
    <row r="81" spans="1:18">
      <c r="A81" s="445"/>
      <c r="B81" s="445"/>
      <c r="C81" s="444"/>
      <c r="D81" s="446"/>
      <c r="E81" s="447"/>
      <c r="F81" s="444"/>
      <c r="G81" s="392"/>
      <c r="H81" s="392"/>
      <c r="I81" s="392"/>
      <c r="J81" s="392"/>
      <c r="K81" s="392"/>
      <c r="L81" s="392"/>
      <c r="M81"/>
      <c r="N81"/>
      <c r="O81" s="274"/>
      <c r="P81"/>
      <c r="Q81" s="374">
        <f t="shared" si="19"/>
        <v>4.4000000000000032E-2</v>
      </c>
      <c r="R81" s="206">
        <v>0.1875</v>
      </c>
    </row>
    <row r="82" spans="1:18">
      <c r="A82" s="436"/>
      <c r="B82" s="436"/>
      <c r="C82" s="436"/>
      <c r="D82" s="436"/>
      <c r="E82" s="436"/>
      <c r="F82" s="436"/>
      <c r="G82" s="436"/>
      <c r="H82" s="436"/>
      <c r="I82" s="392"/>
      <c r="J82" s="392"/>
      <c r="K82" s="392"/>
      <c r="L82" s="392"/>
      <c r="M82"/>
      <c r="N82"/>
      <c r="O82" s="274"/>
      <c r="P82"/>
      <c r="Q82" s="374">
        <f t="shared" si="19"/>
        <v>4.5000000000000033E-2</v>
      </c>
      <c r="R82" s="206">
        <v>0.1875</v>
      </c>
    </row>
    <row r="83" spans="1:18" ht="12.75" customHeight="1">
      <c r="A83" s="419"/>
      <c r="B83" s="419"/>
      <c r="C83" s="448"/>
      <c r="D83" s="384"/>
      <c r="E83" s="449"/>
      <c r="F83" s="450"/>
      <c r="G83" s="384"/>
      <c r="H83" s="392"/>
      <c r="I83" s="392"/>
      <c r="J83" s="392"/>
      <c r="K83" s="392"/>
      <c r="L83" s="392"/>
      <c r="M83"/>
      <c r="N83"/>
      <c r="O83" s="274"/>
      <c r="P83"/>
      <c r="Q83" s="374">
        <f t="shared" si="19"/>
        <v>4.6000000000000034E-2</v>
      </c>
      <c r="R83" s="206">
        <v>0.1875</v>
      </c>
    </row>
    <row r="84" spans="1:18" ht="15" customHeight="1">
      <c r="A84" s="436"/>
      <c r="B84" s="436"/>
      <c r="C84" s="414"/>
      <c r="D84" s="384"/>
      <c r="E84" s="436"/>
      <c r="F84" s="414"/>
      <c r="G84" s="384"/>
      <c r="H84" s="392"/>
      <c r="I84" s="392"/>
      <c r="J84" s="392"/>
      <c r="K84" s="392"/>
      <c r="L84" s="392"/>
      <c r="M84"/>
      <c r="N84"/>
      <c r="O84" s="274"/>
      <c r="P84"/>
      <c r="Q84" s="374">
        <f t="shared" si="19"/>
        <v>4.7000000000000035E-2</v>
      </c>
      <c r="R84" s="206">
        <v>0.1875</v>
      </c>
    </row>
    <row r="85" spans="1:18">
      <c r="A85" s="436"/>
      <c r="B85" s="436"/>
      <c r="C85" s="451"/>
      <c r="D85" s="384"/>
      <c r="E85" s="436"/>
      <c r="F85" s="452"/>
      <c r="G85" s="384"/>
      <c r="H85" s="392"/>
      <c r="I85" s="392"/>
      <c r="J85" s="392"/>
      <c r="K85" s="392"/>
      <c r="L85" s="392"/>
      <c r="M85"/>
      <c r="N85"/>
      <c r="O85" s="274"/>
      <c r="P85"/>
      <c r="Q85" s="374">
        <f t="shared" si="19"/>
        <v>4.8000000000000036E-2</v>
      </c>
      <c r="R85" s="206">
        <v>0.1875</v>
      </c>
    </row>
    <row r="86" spans="1:18">
      <c r="A86" s="445"/>
      <c r="B86" s="445"/>
      <c r="C86" s="453"/>
      <c r="D86" s="445"/>
      <c r="E86" s="445"/>
      <c r="F86" s="453"/>
      <c r="G86" s="446"/>
      <c r="H86" s="437"/>
      <c r="I86" s="392"/>
      <c r="J86" s="392"/>
      <c r="K86" s="392"/>
      <c r="L86" s="392"/>
      <c r="M86"/>
      <c r="N86"/>
      <c r="O86" s="274"/>
      <c r="P86"/>
      <c r="Q86" s="374">
        <f t="shared" si="19"/>
        <v>4.9000000000000037E-2</v>
      </c>
      <c r="R86" s="206">
        <v>0.1875</v>
      </c>
    </row>
    <row r="87" spans="1:18">
      <c r="A87" s="445"/>
      <c r="B87" s="445"/>
      <c r="C87" s="429"/>
      <c r="D87" s="430"/>
      <c r="E87" s="445"/>
      <c r="F87" s="429"/>
      <c r="G87" s="430"/>
      <c r="H87" s="392"/>
      <c r="I87" s="392"/>
      <c r="J87" s="392"/>
      <c r="K87" s="392"/>
      <c r="L87" s="392"/>
      <c r="M87"/>
      <c r="N87"/>
      <c r="O87" s="274"/>
      <c r="P87"/>
      <c r="Q87" s="374">
        <f t="shared" si="19"/>
        <v>5.0000000000000037E-2</v>
      </c>
      <c r="R87" s="206">
        <v>0.1875</v>
      </c>
    </row>
    <row r="88" spans="1:18" ht="12.75" customHeight="1">
      <c r="A88" s="379"/>
      <c r="B88" s="379"/>
      <c r="C88" s="379"/>
      <c r="D88" s="379"/>
      <c r="E88" s="375"/>
      <c r="F88" s="375"/>
      <c r="G88" s="375"/>
      <c r="H88" s="375"/>
      <c r="I88" s="392"/>
      <c r="J88" s="392"/>
      <c r="K88" s="392"/>
      <c r="L88" s="392"/>
      <c r="M88"/>
      <c r="N88"/>
      <c r="O88" s="274"/>
      <c r="P88"/>
      <c r="Q88" s="374">
        <f t="shared" si="19"/>
        <v>5.1000000000000038E-2</v>
      </c>
      <c r="R88" s="206">
        <v>0.1875</v>
      </c>
    </row>
    <row r="89" spans="1:18" ht="21.75" customHeight="1">
      <c r="A89" s="419"/>
      <c r="B89" s="419"/>
      <c r="C89" s="352"/>
      <c r="D89" s="437"/>
      <c r="E89" s="449"/>
      <c r="F89" s="352"/>
      <c r="G89" s="437"/>
      <c r="H89" s="437"/>
      <c r="I89" s="392"/>
      <c r="J89" s="392"/>
      <c r="K89" s="392"/>
      <c r="L89" s="392"/>
      <c r="M89"/>
      <c r="N89"/>
      <c r="O89" s="274"/>
      <c r="P89"/>
      <c r="Q89" s="374">
        <f t="shared" si="19"/>
        <v>5.2000000000000039E-2</v>
      </c>
      <c r="R89" s="206">
        <v>0.1875</v>
      </c>
    </row>
    <row r="90" spans="1:18" ht="12.75" customHeight="1">
      <c r="A90" s="436"/>
      <c r="B90" s="436"/>
      <c r="C90" s="414"/>
      <c r="D90" s="384"/>
      <c r="E90" s="436"/>
      <c r="F90" s="414"/>
      <c r="G90" s="384"/>
      <c r="H90" s="392"/>
      <c r="I90" s="392"/>
      <c r="J90" s="392"/>
      <c r="K90" s="392"/>
      <c r="L90" s="392"/>
      <c r="M90"/>
      <c r="N90"/>
      <c r="O90" s="274"/>
      <c r="P90"/>
      <c r="Q90" s="374">
        <f t="shared" si="19"/>
        <v>5.300000000000004E-2</v>
      </c>
      <c r="R90" s="206">
        <v>0.1875</v>
      </c>
    </row>
    <row r="91" spans="1:18">
      <c r="A91" s="436"/>
      <c r="B91" s="436"/>
      <c r="C91" s="452"/>
      <c r="D91" s="384"/>
      <c r="E91" s="436"/>
      <c r="F91" s="452"/>
      <c r="G91" s="384"/>
      <c r="H91" s="392"/>
      <c r="I91" s="392"/>
      <c r="J91" s="392"/>
      <c r="K91" s="392"/>
      <c r="L91" s="392"/>
      <c r="M91"/>
      <c r="N91"/>
      <c r="O91" s="274"/>
      <c r="P91"/>
      <c r="Q91" s="374">
        <f t="shared" si="19"/>
        <v>5.4000000000000041E-2</v>
      </c>
      <c r="R91" s="206">
        <v>0.1875</v>
      </c>
    </row>
    <row r="92" spans="1:18" ht="12.75" customHeight="1">
      <c r="A92" s="852"/>
      <c r="B92" s="852"/>
      <c r="C92" s="452"/>
      <c r="D92" s="392"/>
      <c r="E92" s="454"/>
      <c r="F92" s="452"/>
      <c r="G92" s="392"/>
      <c r="H92" s="392"/>
      <c r="I92" s="392"/>
      <c r="J92" s="392"/>
      <c r="K92" s="392"/>
      <c r="L92" s="392"/>
      <c r="M92"/>
      <c r="N92"/>
      <c r="O92" s="274"/>
      <c r="P92"/>
      <c r="Q92" s="374">
        <f t="shared" si="19"/>
        <v>5.5000000000000042E-2</v>
      </c>
      <c r="R92" s="206">
        <v>0.1875</v>
      </c>
    </row>
    <row r="93" spans="1:18" ht="18.75" customHeight="1">
      <c r="A93" s="445"/>
      <c r="B93" s="445"/>
      <c r="C93" s="429"/>
      <c r="D93" s="455"/>
      <c r="E93" s="456"/>
      <c r="F93" s="429"/>
      <c r="G93" s="430"/>
      <c r="H93" s="392"/>
      <c r="I93" s="392"/>
      <c r="J93" s="392"/>
      <c r="K93" s="392"/>
      <c r="L93" s="392"/>
      <c r="M93"/>
      <c r="N93"/>
      <c r="O93" s="274"/>
      <c r="P93"/>
      <c r="Q93" s="374">
        <f t="shared" si="19"/>
        <v>5.6000000000000043E-2</v>
      </c>
      <c r="R93" s="206">
        <v>0.1875</v>
      </c>
    </row>
    <row r="94" spans="1:18" ht="15" customHeight="1">
      <c r="A94" s="379"/>
      <c r="B94" s="379"/>
      <c r="C94" s="379"/>
      <c r="D94" s="379"/>
      <c r="E94" s="375"/>
      <c r="F94" s="375"/>
      <c r="G94" s="375"/>
      <c r="H94" s="375"/>
      <c r="I94" s="392"/>
      <c r="J94" s="392"/>
      <c r="K94" s="392"/>
      <c r="L94" s="392"/>
      <c r="M94"/>
      <c r="N94"/>
      <c r="O94" s="274"/>
      <c r="P94"/>
      <c r="Q94" s="374">
        <f t="shared" si="19"/>
        <v>5.7000000000000044E-2</v>
      </c>
      <c r="R94" s="206">
        <v>0.1875</v>
      </c>
    </row>
    <row r="95" spans="1:18" ht="19.5" customHeight="1">
      <c r="A95" s="436"/>
      <c r="B95" s="436"/>
      <c r="C95" s="448"/>
      <c r="D95" s="384"/>
      <c r="E95" s="397"/>
      <c r="F95" s="457"/>
      <c r="G95" s="457"/>
      <c r="H95" s="458"/>
      <c r="I95" s="392"/>
      <c r="J95" s="392"/>
      <c r="K95" s="392"/>
      <c r="L95" s="392"/>
      <c r="M95"/>
      <c r="N95"/>
      <c r="O95" s="274"/>
      <c r="P95"/>
      <c r="Q95" s="374">
        <f t="shared" si="19"/>
        <v>5.8000000000000045E-2</v>
      </c>
      <c r="R95" s="206">
        <v>0.1875</v>
      </c>
    </row>
    <row r="96" spans="1:18" ht="15" customHeight="1">
      <c r="A96" s="436"/>
      <c r="B96" s="419"/>
      <c r="C96" s="448"/>
      <c r="D96" s="384"/>
      <c r="E96" s="419"/>
      <c r="F96" s="352"/>
      <c r="G96" s="352"/>
      <c r="H96" s="392"/>
      <c r="I96" s="392"/>
      <c r="J96" s="392"/>
      <c r="K96" s="392"/>
      <c r="L96" s="392"/>
      <c r="M96"/>
      <c r="N96"/>
      <c r="O96" s="274"/>
      <c r="P96"/>
      <c r="Q96" s="374">
        <f t="shared" si="19"/>
        <v>5.9000000000000045E-2</v>
      </c>
      <c r="R96" s="206">
        <v>0.1875</v>
      </c>
    </row>
    <row r="97" spans="1:18" ht="15" customHeight="1">
      <c r="A97" s="446"/>
      <c r="B97" s="446"/>
      <c r="C97" s="429"/>
      <c r="D97" s="430"/>
      <c r="E97" s="419"/>
      <c r="F97" s="459"/>
      <c r="G97" s="384"/>
      <c r="H97" s="392"/>
      <c r="I97" s="392"/>
      <c r="J97" s="392"/>
      <c r="K97" s="392"/>
      <c r="L97" s="392"/>
      <c r="M97"/>
      <c r="N97"/>
      <c r="O97" s="274"/>
      <c r="P97"/>
      <c r="Q97" s="374">
        <f t="shared" si="19"/>
        <v>6.0000000000000046E-2</v>
      </c>
      <c r="R97" s="206">
        <v>0.1875</v>
      </c>
    </row>
    <row r="98" spans="1:18" ht="18.75" customHeight="1">
      <c r="A98" s="392"/>
      <c r="B98" s="392"/>
      <c r="C98" s="392"/>
      <c r="D98" s="392"/>
      <c r="E98" s="456"/>
      <c r="F98" s="429"/>
      <c r="G98" s="430"/>
      <c r="H98" s="392"/>
      <c r="I98" s="392"/>
      <c r="J98" s="392"/>
      <c r="K98" s="392"/>
      <c r="L98" s="392"/>
      <c r="M98"/>
      <c r="N98"/>
      <c r="O98" s="274"/>
      <c r="P98"/>
      <c r="Q98" s="374">
        <f t="shared" si="19"/>
        <v>6.1000000000000047E-2</v>
      </c>
      <c r="R98" s="206">
        <v>0.1875</v>
      </c>
    </row>
    <row r="99" spans="1:18" ht="12.75" customHeight="1">
      <c r="A99" s="375"/>
      <c r="B99" s="375"/>
      <c r="C99" s="375"/>
      <c r="D99" s="375"/>
      <c r="E99" s="375"/>
      <c r="F99" s="375"/>
      <c r="G99" s="375"/>
      <c r="H99" s="375"/>
      <c r="I99" s="392"/>
      <c r="J99" s="392"/>
      <c r="K99" s="392"/>
      <c r="L99" s="392"/>
      <c r="M99"/>
      <c r="N99"/>
      <c r="O99" s="274"/>
      <c r="P99"/>
      <c r="Q99" s="374">
        <f t="shared" si="19"/>
        <v>6.2000000000000048E-2</v>
      </c>
      <c r="R99" s="206">
        <v>0.1875</v>
      </c>
    </row>
    <row r="100" spans="1:18">
      <c r="A100" s="460"/>
      <c r="B100" s="429"/>
      <c r="C100" s="430"/>
      <c r="D100" s="392"/>
      <c r="E100" s="392"/>
      <c r="F100" s="392"/>
      <c r="G100" s="392"/>
      <c r="H100" s="392"/>
      <c r="I100" s="392"/>
      <c r="J100" s="392"/>
      <c r="K100" s="392"/>
      <c r="L100" s="392"/>
      <c r="M100"/>
      <c r="N100"/>
      <c r="O100" s="274"/>
      <c r="P100"/>
      <c r="Q100" s="374">
        <f t="shared" si="19"/>
        <v>6.3000000000000042E-2</v>
      </c>
      <c r="R100" s="206">
        <v>0.1875</v>
      </c>
    </row>
    <row r="101" spans="1:18" ht="12.75" customHeight="1">
      <c r="A101" s="375"/>
      <c r="B101" s="375"/>
      <c r="C101" s="375"/>
      <c r="D101" s="375"/>
      <c r="E101" s="375"/>
      <c r="F101" s="375"/>
      <c r="G101" s="375"/>
      <c r="H101" s="375"/>
      <c r="I101" s="461"/>
      <c r="J101" s="461"/>
      <c r="K101" s="461"/>
      <c r="L101" s="392"/>
      <c r="M101"/>
      <c r="N101"/>
      <c r="O101" s="274"/>
      <c r="P101"/>
      <c r="Q101" s="374">
        <f t="shared" si="19"/>
        <v>6.4000000000000043E-2</v>
      </c>
      <c r="R101" s="206">
        <v>0.1875</v>
      </c>
    </row>
    <row r="102" spans="1:18">
      <c r="A102" s="436"/>
      <c r="B102" s="436"/>
      <c r="C102" s="448"/>
      <c r="D102" s="384"/>
      <c r="E102" s="419"/>
      <c r="F102" s="419"/>
      <c r="G102" s="462"/>
      <c r="H102" s="384"/>
      <c r="I102" s="463"/>
      <c r="J102" s="464"/>
      <c r="K102" s="392"/>
      <c r="L102" s="392"/>
      <c r="M102"/>
      <c r="N102"/>
      <c r="O102" s="274"/>
      <c r="P102"/>
      <c r="Q102" s="374">
        <f t="shared" si="19"/>
        <v>6.5000000000000044E-2</v>
      </c>
      <c r="R102" s="206">
        <v>0.1875</v>
      </c>
    </row>
    <row r="103" spans="1:18">
      <c r="A103" s="436"/>
      <c r="B103" s="436"/>
      <c r="C103" s="448"/>
      <c r="D103" s="384"/>
      <c r="E103" s="436"/>
      <c r="F103" s="436"/>
      <c r="G103" s="448"/>
      <c r="H103" s="463"/>
      <c r="I103" s="392"/>
      <c r="J103" s="392"/>
      <c r="K103" s="392"/>
      <c r="L103" s="392"/>
      <c r="M103"/>
      <c r="N103"/>
      <c r="O103" s="274"/>
      <c r="P103"/>
      <c r="Q103" s="374">
        <f t="shared" ref="Q103:Q166" si="21">Q102+0.001</f>
        <v>6.6000000000000045E-2</v>
      </c>
      <c r="R103" s="206">
        <v>0.1875</v>
      </c>
    </row>
    <row r="104" spans="1:18" ht="12.75" customHeight="1">
      <c r="A104" s="436"/>
      <c r="B104" s="436"/>
      <c r="C104" s="448"/>
      <c r="D104" s="384"/>
      <c r="E104" s="436"/>
      <c r="F104" s="436"/>
      <c r="G104" s="448"/>
      <c r="H104" s="384"/>
      <c r="I104" s="392"/>
      <c r="J104" s="392"/>
      <c r="K104" s="392"/>
      <c r="L104" s="392"/>
      <c r="M104"/>
      <c r="N104"/>
      <c r="O104" s="274"/>
      <c r="P104"/>
      <c r="Q104" s="374">
        <f t="shared" si="21"/>
        <v>6.7000000000000046E-2</v>
      </c>
      <c r="R104" s="206">
        <v>0.1875</v>
      </c>
    </row>
    <row r="105" spans="1:18" ht="12.75" customHeight="1">
      <c r="A105" s="436"/>
      <c r="B105" s="436"/>
      <c r="C105" s="448"/>
      <c r="D105" s="384"/>
      <c r="E105" s="436"/>
      <c r="F105" s="436"/>
      <c r="G105" s="465"/>
      <c r="H105" s="384"/>
      <c r="I105" s="392"/>
      <c r="J105" s="392"/>
      <c r="K105" s="392"/>
      <c r="L105" s="392"/>
      <c r="M105"/>
      <c r="N105"/>
      <c r="O105" s="274"/>
      <c r="P105"/>
      <c r="Q105" s="374">
        <f t="shared" si="21"/>
        <v>6.8000000000000047E-2</v>
      </c>
      <c r="R105" s="206">
        <v>0.1875</v>
      </c>
    </row>
    <row r="106" spans="1:18">
      <c r="A106" s="436"/>
      <c r="B106" s="436"/>
      <c r="C106" s="448"/>
      <c r="D106" s="384"/>
      <c r="E106" s="436"/>
      <c r="F106" s="436"/>
      <c r="G106" s="448"/>
      <c r="H106" s="392"/>
      <c r="I106" s="392"/>
      <c r="J106" s="392"/>
      <c r="K106" s="392"/>
      <c r="L106" s="392"/>
      <c r="M106"/>
      <c r="N106"/>
      <c r="O106" s="274"/>
      <c r="P106"/>
      <c r="Q106" s="374">
        <f t="shared" si="21"/>
        <v>6.9000000000000047E-2</v>
      </c>
      <c r="R106" s="206">
        <v>0.1875</v>
      </c>
    </row>
    <row r="107" spans="1:18">
      <c r="A107" s="446"/>
      <c r="B107" s="446"/>
      <c r="C107" s="429"/>
      <c r="D107" s="430"/>
      <c r="E107" s="446"/>
      <c r="F107" s="446"/>
      <c r="G107" s="429"/>
      <c r="H107" s="430"/>
      <c r="I107" s="392"/>
      <c r="J107" s="392"/>
      <c r="K107" s="392"/>
      <c r="L107" s="392"/>
      <c r="M107"/>
      <c r="N107"/>
      <c r="O107" s="274"/>
      <c r="P107"/>
      <c r="Q107" s="374">
        <f t="shared" si="21"/>
        <v>7.0000000000000048E-2</v>
      </c>
      <c r="R107" s="206">
        <v>0.1875</v>
      </c>
    </row>
    <row r="108" spans="1:18">
      <c r="A108" s="375"/>
      <c r="B108" s="461"/>
      <c r="C108" s="461"/>
      <c r="D108" s="461"/>
      <c r="E108" s="461"/>
      <c r="F108" s="461"/>
      <c r="G108" s="461"/>
      <c r="H108" s="461"/>
      <c r="I108"/>
      <c r="J108"/>
      <c r="K108"/>
      <c r="L108" s="392"/>
      <c r="M108"/>
      <c r="N108"/>
      <c r="O108" s="274"/>
      <c r="P108"/>
      <c r="Q108" s="374">
        <f t="shared" si="21"/>
        <v>7.1000000000000049E-2</v>
      </c>
      <c r="R108" s="206">
        <v>0.1875</v>
      </c>
    </row>
    <row r="109" spans="1:18" ht="12.75" customHeight="1">
      <c r="A109" s="436"/>
      <c r="B109" s="352"/>
      <c r="C109" s="448"/>
      <c r="D109" s="384"/>
      <c r="E109" s="392"/>
      <c r="F109" s="392"/>
      <c r="G109" s="392"/>
      <c r="H109" s="392"/>
      <c r="I109" s="392"/>
      <c r="J109" s="392"/>
      <c r="K109" s="392"/>
      <c r="L109" s="392"/>
      <c r="M109"/>
      <c r="N109"/>
      <c r="O109" s="274"/>
      <c r="P109"/>
      <c r="Q109" s="374">
        <f t="shared" si="21"/>
        <v>7.200000000000005E-2</v>
      </c>
      <c r="R109" s="206">
        <v>0.1875</v>
      </c>
    </row>
    <row r="110" spans="1:18">
      <c r="A110" s="375"/>
      <c r="B110" s="461"/>
      <c r="C110" s="461"/>
      <c r="D110" s="461"/>
      <c r="E110" s="461"/>
      <c r="F110" s="461"/>
      <c r="G110" s="461"/>
      <c r="H110" s="461"/>
      <c r="I110" s="392"/>
      <c r="J110" s="392"/>
      <c r="K110" s="392"/>
      <c r="L110" s="392"/>
      <c r="M110"/>
      <c r="N110"/>
      <c r="O110" s="274"/>
      <c r="P110"/>
      <c r="Q110" s="374">
        <f t="shared" si="21"/>
        <v>7.3000000000000051E-2</v>
      </c>
      <c r="R110" s="206">
        <v>0.1875</v>
      </c>
    </row>
    <row r="111" spans="1:18" ht="12.75" customHeight="1">
      <c r="A111" s="436"/>
      <c r="B111" s="436"/>
      <c r="C111" s="436"/>
      <c r="D111" s="436"/>
      <c r="E111" s="436"/>
      <c r="F111" s="436"/>
      <c r="G111" s="436"/>
      <c r="H111" s="420"/>
      <c r="I111" s="392"/>
      <c r="J111" s="392"/>
      <c r="K111" s="392"/>
      <c r="L111" s="392"/>
      <c r="M111"/>
      <c r="N111"/>
      <c r="O111" s="274"/>
      <c r="P111"/>
      <c r="Q111" s="374">
        <f t="shared" si="21"/>
        <v>7.4000000000000052E-2</v>
      </c>
      <c r="R111" s="206">
        <v>0.1875</v>
      </c>
    </row>
    <row r="112" spans="1:18">
      <c r="A112" s="853"/>
      <c r="B112" s="853"/>
      <c r="C112" s="466"/>
      <c r="D112" s="430"/>
      <c r="E112"/>
      <c r="F112"/>
      <c r="G112"/>
      <c r="H112" s="392"/>
      <c r="I112" s="392"/>
      <c r="J112" s="392"/>
      <c r="K112" s="392"/>
      <c r="L112" s="392"/>
      <c r="M112"/>
      <c r="N112"/>
      <c r="O112" s="274"/>
      <c r="P112"/>
      <c r="Q112" s="374">
        <f t="shared" si="21"/>
        <v>7.5000000000000053E-2</v>
      </c>
      <c r="R112" s="206">
        <v>0.1875</v>
      </c>
    </row>
    <row r="113" spans="1:18">
      <c r="A113" s="375"/>
      <c r="B113" s="461"/>
      <c r="C113" s="237"/>
      <c r="D113" s="237"/>
      <c r="E113" s="237"/>
      <c r="F113" s="461"/>
      <c r="G113" s="461"/>
      <c r="H113" s="461"/>
      <c r="I113" s="392"/>
      <c r="J113" s="392"/>
      <c r="K113" s="392"/>
      <c r="L113" s="392"/>
      <c r="M113"/>
      <c r="N113"/>
      <c r="O113" s="274"/>
      <c r="P113"/>
      <c r="Q113" s="374">
        <f t="shared" si="21"/>
        <v>7.6000000000000054E-2</v>
      </c>
      <c r="R113" s="206">
        <v>0.1875</v>
      </c>
    </row>
    <row r="114" spans="1:18">
      <c r="A114" s="400"/>
      <c r="B114" s="400"/>
      <c r="C114" s="467"/>
      <c r="D114" s="237"/>
      <c r="E114" s="468"/>
      <c r="F114" s="468"/>
      <c r="G114" s="237"/>
      <c r="H114" s="237"/>
      <c r="I114" s="237"/>
      <c r="J114" s="237"/>
      <c r="K114" s="237"/>
      <c r="L114" s="234"/>
      <c r="M114"/>
      <c r="N114"/>
      <c r="O114" s="274"/>
      <c r="P114"/>
      <c r="Q114" s="374">
        <f t="shared" si="21"/>
        <v>7.7000000000000055E-2</v>
      </c>
      <c r="R114" s="206">
        <v>0.1875</v>
      </c>
    </row>
    <row r="115" spans="1:18">
      <c r="A115"/>
      <c r="B115"/>
      <c r="C115"/>
      <c r="D115" s="384"/>
      <c r="E115" s="469"/>
      <c r="F115" s="469"/>
      <c r="G115" s="469"/>
      <c r="H115" s="470"/>
      <c r="I115" s="471"/>
      <c r="J115" s="471"/>
      <c r="K115" s="471"/>
      <c r="L115" s="472"/>
      <c r="M115"/>
      <c r="N115"/>
      <c r="O115" s="274"/>
      <c r="P115"/>
      <c r="Q115" s="374">
        <f t="shared" si="21"/>
        <v>7.8000000000000055E-2</v>
      </c>
      <c r="R115" s="206">
        <v>0.1875</v>
      </c>
    </row>
    <row r="116" spans="1:18">
      <c r="A116"/>
      <c r="B116"/>
      <c r="C116"/>
      <c r="D116"/>
      <c r="E116" s="421"/>
      <c r="F116" s="337"/>
      <c r="G116" s="335"/>
      <c r="H116" s="249"/>
      <c r="I116" s="338"/>
      <c r="J116"/>
      <c r="K116" s="392"/>
      <c r="L116" s="392"/>
      <c r="M116"/>
      <c r="N116"/>
      <c r="O116" s="274"/>
      <c r="P116"/>
      <c r="Q116" s="374">
        <f t="shared" si="21"/>
        <v>7.9000000000000056E-2</v>
      </c>
      <c r="R116" s="206">
        <v>0.1875</v>
      </c>
    </row>
    <row r="117" spans="1:18">
      <c r="A117"/>
      <c r="B117"/>
      <c r="C117"/>
      <c r="D117"/>
      <c r="E117" s="421"/>
      <c r="F117" s="250"/>
      <c r="G117" s="339"/>
      <c r="H117" s="249"/>
      <c r="I117" s="338"/>
      <c r="J117" s="392"/>
      <c r="K117" s="392"/>
      <c r="L117" s="392"/>
      <c r="M117"/>
      <c r="N117"/>
      <c r="O117" s="274"/>
      <c r="P117"/>
      <c r="Q117" s="374">
        <f t="shared" si="21"/>
        <v>8.0000000000000057E-2</v>
      </c>
      <c r="R117" s="206">
        <v>0.1875</v>
      </c>
    </row>
    <row r="118" spans="1:18" ht="12.75" customHeight="1">
      <c r="A118"/>
      <c r="B118"/>
      <c r="C118"/>
      <c r="D118"/>
      <c r="E118" s="421"/>
      <c r="F118" s="422"/>
      <c r="G118" s="250"/>
      <c r="H118" s="423"/>
      <c r="I118" s="184"/>
      <c r="J118" s="392"/>
      <c r="K118" s="392"/>
      <c r="L118" s="392"/>
      <c r="M118"/>
      <c r="N118"/>
      <c r="O118" s="274"/>
      <c r="P118"/>
      <c r="Q118" s="374">
        <f t="shared" si="21"/>
        <v>8.1000000000000058E-2</v>
      </c>
      <c r="R118" s="206">
        <v>0.1875</v>
      </c>
    </row>
    <row r="119" spans="1:18" ht="14.25" customHeight="1">
      <c r="A119" s="473"/>
      <c r="B119" s="474"/>
      <c r="C119" s="475"/>
      <c r="D119" s="476"/>
      <c r="E119" s="476"/>
      <c r="F119" s="476"/>
      <c r="G119" s="476"/>
      <c r="H119" s="476"/>
      <c r="I119" s="476"/>
      <c r="J119" s="476"/>
      <c r="K119" s="476"/>
      <c r="L119" s="476"/>
      <c r="O119" s="340"/>
      <c r="Q119" s="374">
        <f t="shared" si="21"/>
        <v>8.2000000000000059E-2</v>
      </c>
      <c r="R119" s="206">
        <v>0.1875</v>
      </c>
    </row>
    <row r="120" spans="1:18" ht="12.75" customHeight="1">
      <c r="A120" s="473"/>
      <c r="B120" s="474"/>
      <c r="C120" s="475"/>
      <c r="D120" s="476"/>
      <c r="E120" s="476"/>
      <c r="F120" s="476"/>
      <c r="G120" s="476"/>
      <c r="H120" s="476"/>
      <c r="I120" s="476"/>
      <c r="J120" s="476"/>
      <c r="K120" s="476"/>
      <c r="L120" s="476"/>
      <c r="O120" s="340"/>
      <c r="Q120" s="374">
        <f t="shared" si="21"/>
        <v>8.300000000000006E-2</v>
      </c>
      <c r="R120" s="206">
        <v>0.1875</v>
      </c>
    </row>
    <row r="121" spans="1:18">
      <c r="A121" s="477"/>
      <c r="B121" s="477"/>
      <c r="C121" s="477"/>
      <c r="D121" s="477"/>
      <c r="E121" s="477"/>
      <c r="F121" s="477"/>
      <c r="G121" s="477"/>
      <c r="H121" s="478"/>
      <c r="I121" s="477"/>
      <c r="J121" s="477"/>
      <c r="K121" s="477"/>
      <c r="L121" s="477"/>
      <c r="M121" s="477"/>
      <c r="N121" s="477"/>
      <c r="O121" s="340"/>
      <c r="Q121" s="374">
        <f t="shared" si="21"/>
        <v>8.4000000000000061E-2</v>
      </c>
      <c r="R121" s="206">
        <v>0.1875</v>
      </c>
    </row>
    <row r="122" spans="1:18">
      <c r="A122" s="353"/>
      <c r="B122" s="479"/>
      <c r="C122" s="479"/>
      <c r="D122" s="479"/>
      <c r="E122" s="479"/>
      <c r="F122" s="479"/>
      <c r="G122" s="479"/>
      <c r="H122" s="480"/>
      <c r="I122" s="473"/>
      <c r="J122" s="473"/>
      <c r="K122" s="473"/>
      <c r="L122" s="473"/>
      <c r="M122" s="473"/>
      <c r="N122" s="473"/>
      <c r="O122" s="340"/>
      <c r="Q122" s="374">
        <f t="shared" si="21"/>
        <v>8.5000000000000062E-2</v>
      </c>
      <c r="R122" s="206">
        <v>0.1875</v>
      </c>
    </row>
    <row r="123" spans="1:18" ht="14.25" customHeight="1">
      <c r="A123" s="473"/>
      <c r="B123" s="481"/>
      <c r="C123" s="475"/>
      <c r="D123" s="476"/>
      <c r="E123" s="476"/>
      <c r="F123" s="476"/>
      <c r="G123" s="476"/>
      <c r="H123" s="482"/>
      <c r="I123" s="483"/>
      <c r="J123" s="475"/>
      <c r="K123" s="476"/>
      <c r="L123" s="476"/>
      <c r="M123" s="476"/>
      <c r="N123" s="476"/>
      <c r="O123" s="340"/>
      <c r="Q123" s="374">
        <f t="shared" si="21"/>
        <v>8.6000000000000063E-2</v>
      </c>
      <c r="R123" s="206">
        <v>0.1875</v>
      </c>
    </row>
    <row r="124" spans="1:18" ht="12.75" customHeight="1">
      <c r="A124" s="353"/>
      <c r="B124" s="353"/>
      <c r="C124" s="476"/>
      <c r="D124" s="476"/>
      <c r="E124" s="476"/>
      <c r="F124" s="476"/>
      <c r="G124" s="476"/>
      <c r="H124" s="482"/>
      <c r="I124" s="483"/>
      <c r="J124" s="475"/>
      <c r="K124" s="476"/>
      <c r="L124" s="476"/>
      <c r="M124" s="476"/>
      <c r="N124" s="476"/>
      <c r="O124" s="340"/>
      <c r="Q124" s="374">
        <f t="shared" si="21"/>
        <v>8.7000000000000063E-2</v>
      </c>
      <c r="R124" s="206">
        <v>0.1875</v>
      </c>
    </row>
    <row r="125" spans="1:18">
      <c r="A125" s="473"/>
      <c r="B125" s="484"/>
      <c r="C125" s="475"/>
      <c r="D125" s="476"/>
      <c r="E125" s="476"/>
      <c r="F125" s="476"/>
      <c r="G125" s="476"/>
      <c r="H125" s="482"/>
      <c r="I125" s="483"/>
      <c r="J125" s="475"/>
      <c r="K125" s="476"/>
      <c r="L125" s="476"/>
      <c r="M125" s="476"/>
      <c r="N125" s="476"/>
      <c r="O125" s="340"/>
      <c r="Q125" s="374">
        <f t="shared" si="21"/>
        <v>8.8000000000000064E-2</v>
      </c>
      <c r="R125" s="206">
        <v>0.1875</v>
      </c>
    </row>
    <row r="126" spans="1:18">
      <c r="A126" s="353"/>
      <c r="B126" s="353"/>
      <c r="C126" s="476"/>
      <c r="D126" s="476"/>
      <c r="E126" s="476"/>
      <c r="F126" s="476"/>
      <c r="G126" s="476"/>
      <c r="H126" s="485"/>
      <c r="I126" s="486"/>
      <c r="J126" s="475"/>
      <c r="K126" s="476"/>
      <c r="L126" s="476"/>
      <c r="M126" s="476"/>
      <c r="N126" s="476"/>
      <c r="O126" s="340"/>
      <c r="Q126" s="374">
        <f t="shared" si="21"/>
        <v>8.9000000000000065E-2</v>
      </c>
      <c r="R126" s="206">
        <v>0.1875</v>
      </c>
    </row>
    <row r="127" spans="1:18" ht="12.75" customHeight="1">
      <c r="A127" s="473"/>
      <c r="B127" s="474"/>
      <c r="C127" s="475"/>
      <c r="D127" s="480"/>
      <c r="E127" s="480"/>
      <c r="F127" s="480"/>
      <c r="G127" s="480"/>
      <c r="H127" s="854"/>
      <c r="I127" s="854"/>
      <c r="J127" s="854"/>
      <c r="K127" s="854"/>
      <c r="L127" s="854"/>
      <c r="M127" s="854"/>
      <c r="N127" s="854"/>
      <c r="O127" s="854"/>
      <c r="P127" s="854"/>
      <c r="Q127" s="374">
        <f t="shared" si="21"/>
        <v>9.0000000000000066E-2</v>
      </c>
      <c r="R127" s="206">
        <v>0.1875</v>
      </c>
    </row>
    <row r="128" spans="1:18" ht="12.75" customHeight="1">
      <c r="A128" s="473"/>
      <c r="B128" s="474"/>
      <c r="C128" s="475"/>
      <c r="D128" s="480"/>
      <c r="E128" s="473"/>
      <c r="F128" s="473"/>
      <c r="G128" s="473"/>
      <c r="H128" s="854"/>
      <c r="I128" s="854"/>
      <c r="J128" s="854"/>
      <c r="K128" s="854"/>
      <c r="L128" s="854"/>
      <c r="M128" s="854"/>
      <c r="N128" s="854"/>
      <c r="O128" s="854"/>
      <c r="P128" s="854"/>
      <c r="Q128" s="374">
        <f t="shared" si="21"/>
        <v>9.1000000000000067E-2</v>
      </c>
      <c r="R128" s="206">
        <v>0.1875</v>
      </c>
    </row>
    <row r="129" spans="1:18" ht="12.75" customHeight="1">
      <c r="A129" s="473"/>
      <c r="B129" s="487"/>
      <c r="C129" s="475"/>
      <c r="D129" s="480"/>
      <c r="E129" s="473"/>
      <c r="F129" s="473"/>
      <c r="G129" s="473"/>
      <c r="H129" s="854"/>
      <c r="I129" s="854"/>
      <c r="J129" s="854"/>
      <c r="K129" s="854"/>
      <c r="L129" s="854"/>
      <c r="M129" s="854"/>
      <c r="N129" s="854"/>
      <c r="O129" s="854"/>
      <c r="P129" s="854"/>
      <c r="Q129" s="374">
        <f t="shared" si="21"/>
        <v>9.2000000000000068E-2</v>
      </c>
      <c r="R129" s="206">
        <v>0.1875</v>
      </c>
    </row>
    <row r="130" spans="1:18" ht="12.75" customHeight="1">
      <c r="A130" s="480"/>
      <c r="B130" s="473"/>
      <c r="C130" s="473"/>
      <c r="D130" s="473"/>
      <c r="E130" s="473"/>
      <c r="F130" s="473"/>
      <c r="G130" s="473"/>
      <c r="H130" s="854"/>
      <c r="I130" s="854"/>
      <c r="J130" s="854"/>
      <c r="K130" s="854"/>
      <c r="L130" s="854"/>
      <c r="M130" s="854"/>
      <c r="N130" s="854"/>
      <c r="O130" s="854"/>
      <c r="P130" s="854"/>
      <c r="Q130" s="374">
        <f t="shared" si="21"/>
        <v>9.3000000000000069E-2</v>
      </c>
      <c r="R130" s="206">
        <v>0.1875</v>
      </c>
    </row>
    <row r="131" spans="1:18" ht="12.75" customHeight="1">
      <c r="A131" s="485"/>
      <c r="B131" s="488"/>
      <c r="C131" s="475"/>
      <c r="D131" s="487"/>
      <c r="E131" s="489"/>
      <c r="F131" s="476"/>
      <c r="G131" s="476"/>
      <c r="H131" s="854"/>
      <c r="I131" s="854"/>
      <c r="J131" s="854"/>
      <c r="K131" s="854"/>
      <c r="L131" s="854"/>
      <c r="M131" s="854"/>
      <c r="N131" s="854"/>
      <c r="O131" s="854"/>
      <c r="P131" s="854"/>
      <c r="Q131" s="374">
        <f t="shared" si="21"/>
        <v>9.400000000000007E-2</v>
      </c>
      <c r="R131" s="206">
        <v>0.1875</v>
      </c>
    </row>
    <row r="132" spans="1:18" ht="12.75" customHeight="1">
      <c r="A132" s="485"/>
      <c r="B132" s="488"/>
      <c r="C132" s="475"/>
      <c r="D132" s="487"/>
      <c r="E132" s="489"/>
      <c r="F132" s="476"/>
      <c r="G132" s="476"/>
      <c r="H132" s="854"/>
      <c r="I132" s="854"/>
      <c r="J132" s="854"/>
      <c r="K132" s="854"/>
      <c r="L132" s="854"/>
      <c r="M132" s="854"/>
      <c r="N132" s="854"/>
      <c r="O132" s="854"/>
      <c r="P132" s="854"/>
      <c r="Q132" s="374">
        <f t="shared" si="21"/>
        <v>9.500000000000007E-2</v>
      </c>
      <c r="R132" s="206">
        <v>0.1875</v>
      </c>
    </row>
    <row r="133" spans="1:18" ht="12.75" customHeight="1">
      <c r="A133" s="485"/>
      <c r="B133" s="488"/>
      <c r="C133" s="475"/>
      <c r="D133" s="487"/>
      <c r="E133" s="489"/>
      <c r="F133" s="476"/>
      <c r="G133" s="476"/>
      <c r="H133" s="854"/>
      <c r="I133" s="854"/>
      <c r="J133" s="854"/>
      <c r="K133" s="854"/>
      <c r="L133" s="854"/>
      <c r="M133" s="854"/>
      <c r="N133" s="854"/>
      <c r="O133" s="854"/>
      <c r="P133" s="854"/>
      <c r="Q133" s="374">
        <f t="shared" si="21"/>
        <v>9.6000000000000071E-2</v>
      </c>
      <c r="R133" s="206">
        <v>0.1875</v>
      </c>
    </row>
    <row r="134" spans="1:18" ht="12.75" customHeight="1">
      <c r="A134" s="480"/>
      <c r="B134" s="473"/>
      <c r="C134" s="473"/>
      <c r="D134" s="473"/>
      <c r="E134" s="473"/>
      <c r="F134" s="473"/>
      <c r="G134" s="473"/>
      <c r="H134" s="476"/>
      <c r="I134" s="476"/>
      <c r="J134" s="476"/>
      <c r="K134" s="476"/>
      <c r="L134" s="476"/>
      <c r="O134" s="340"/>
      <c r="Q134" s="374">
        <f t="shared" si="21"/>
        <v>9.7000000000000072E-2</v>
      </c>
      <c r="R134" s="206">
        <v>0.1875</v>
      </c>
    </row>
    <row r="135" spans="1:18" ht="12.75" customHeight="1">
      <c r="A135" s="478"/>
      <c r="B135" s="477"/>
      <c r="C135" s="477"/>
      <c r="D135" s="477"/>
      <c r="E135" s="477"/>
      <c r="F135" s="477"/>
      <c r="G135" s="477"/>
      <c r="H135" s="478"/>
      <c r="I135" s="478"/>
      <c r="J135" s="478"/>
      <c r="K135" s="478"/>
      <c r="L135" s="478"/>
      <c r="M135" s="478"/>
      <c r="N135" s="478"/>
      <c r="O135" s="478"/>
      <c r="P135" s="478"/>
      <c r="Q135" s="374">
        <f t="shared" si="21"/>
        <v>9.8000000000000073E-2</v>
      </c>
      <c r="R135" s="206">
        <v>0.1875</v>
      </c>
    </row>
    <row r="136" spans="1:18" ht="12.75" customHeight="1">
      <c r="A136" s="485"/>
      <c r="B136" s="486"/>
      <c r="C136" s="475"/>
      <c r="D136" s="476"/>
      <c r="E136" s="476"/>
      <c r="F136" s="476"/>
      <c r="G136" s="489"/>
      <c r="H136" s="480"/>
      <c r="I136" s="473"/>
      <c r="J136" s="473"/>
      <c r="K136" s="473"/>
      <c r="L136" s="473"/>
      <c r="M136" s="473"/>
      <c r="N136" s="473"/>
      <c r="O136" s="340"/>
      <c r="Q136" s="374">
        <f t="shared" si="21"/>
        <v>9.9000000000000074E-2</v>
      </c>
      <c r="R136" s="206">
        <v>0.1875</v>
      </c>
    </row>
    <row r="137" spans="1:18" ht="12.75" customHeight="1">
      <c r="A137" s="476"/>
      <c r="B137" s="476"/>
      <c r="C137" s="476"/>
      <c r="D137" s="476"/>
      <c r="E137" s="476"/>
      <c r="F137" s="476"/>
      <c r="G137" s="489"/>
      <c r="H137" s="485"/>
      <c r="I137" s="484"/>
      <c r="J137" s="476"/>
      <c r="K137" s="476"/>
      <c r="L137" s="476"/>
      <c r="M137" s="476"/>
      <c r="N137" s="476"/>
      <c r="O137" s="340"/>
      <c r="Q137" s="374">
        <f t="shared" si="21"/>
        <v>0.10000000000000007</v>
      </c>
      <c r="R137" s="206">
        <v>0.1875</v>
      </c>
    </row>
    <row r="138" spans="1:18">
      <c r="A138" s="485"/>
      <c r="B138" s="475"/>
      <c r="C138" s="476"/>
      <c r="D138" s="476"/>
      <c r="E138" s="476"/>
      <c r="F138" s="476"/>
      <c r="G138" s="489"/>
      <c r="H138" s="473"/>
      <c r="I138" s="485"/>
      <c r="J138" s="475"/>
      <c r="K138" s="476"/>
      <c r="L138" s="476"/>
      <c r="M138" s="476"/>
      <c r="N138" s="476"/>
      <c r="O138" s="340"/>
      <c r="Q138" s="374">
        <f t="shared" si="21"/>
        <v>0.10100000000000008</v>
      </c>
      <c r="R138" s="206">
        <v>0.1875</v>
      </c>
    </row>
    <row r="139" spans="1:18" ht="12.75" customHeight="1">
      <c r="A139" s="476"/>
      <c r="B139" s="476"/>
      <c r="C139" s="476"/>
      <c r="D139" s="476"/>
      <c r="E139" s="476"/>
      <c r="F139" s="476"/>
      <c r="G139" s="476"/>
      <c r="H139" s="480"/>
      <c r="I139" s="473"/>
      <c r="J139" s="473"/>
      <c r="K139" s="473"/>
      <c r="L139" s="473"/>
      <c r="M139" s="473"/>
      <c r="N139" s="473"/>
      <c r="O139" s="340"/>
      <c r="Q139" s="374">
        <f t="shared" si="21"/>
        <v>0.10200000000000008</v>
      </c>
      <c r="R139" s="206">
        <v>0.1875</v>
      </c>
    </row>
    <row r="140" spans="1:18" ht="12.75" customHeight="1">
      <c r="A140" s="485"/>
      <c r="B140" s="353"/>
      <c r="C140" s="353"/>
      <c r="D140" s="353"/>
      <c r="E140" s="353"/>
      <c r="F140" s="353"/>
      <c r="G140" s="479"/>
      <c r="H140" s="473"/>
      <c r="I140" s="490"/>
      <c r="J140" s="475"/>
      <c r="K140" s="476"/>
      <c r="L140" s="476"/>
      <c r="M140" s="476"/>
      <c r="N140" s="476"/>
      <c r="O140" s="340"/>
      <c r="Q140" s="374">
        <f t="shared" si="21"/>
        <v>0.10300000000000008</v>
      </c>
      <c r="R140" s="206">
        <v>0.1875</v>
      </c>
    </row>
    <row r="141" spans="1:18" ht="12.75" customHeight="1">
      <c r="A141" s="485"/>
      <c r="B141" s="353"/>
      <c r="C141" s="353"/>
      <c r="D141" s="353"/>
      <c r="E141" s="476"/>
      <c r="F141" s="476"/>
      <c r="G141" s="476"/>
      <c r="H141" s="850"/>
      <c r="I141" s="850"/>
      <c r="J141" s="850"/>
      <c r="K141" s="850"/>
      <c r="L141" s="850"/>
      <c r="M141" s="850"/>
      <c r="N141" s="850"/>
      <c r="O141" s="850"/>
      <c r="P141" s="850"/>
      <c r="Q141" s="374">
        <f t="shared" si="21"/>
        <v>0.10400000000000008</v>
      </c>
      <c r="R141" s="206">
        <v>0.1875</v>
      </c>
    </row>
    <row r="142" spans="1:18">
      <c r="A142" s="476"/>
      <c r="B142" s="476"/>
      <c r="C142" s="476"/>
      <c r="D142" s="476"/>
      <c r="E142" s="476"/>
      <c r="F142" s="476"/>
      <c r="G142" s="489"/>
      <c r="H142" s="850"/>
      <c r="I142" s="850"/>
      <c r="J142" s="850"/>
      <c r="K142" s="850"/>
      <c r="L142" s="850"/>
      <c r="M142" s="850"/>
      <c r="N142" s="850"/>
      <c r="O142" s="850"/>
      <c r="P142" s="850"/>
      <c r="Q142" s="374">
        <f t="shared" si="21"/>
        <v>0.10500000000000008</v>
      </c>
      <c r="R142" s="206">
        <v>0.1875</v>
      </c>
    </row>
    <row r="143" spans="1:18" ht="12.75" customHeight="1">
      <c r="A143" s="485"/>
      <c r="B143" s="482"/>
      <c r="C143" s="475"/>
      <c r="D143" s="476"/>
      <c r="E143" s="476"/>
      <c r="F143" s="476"/>
      <c r="G143" s="476"/>
      <c r="H143" s="850"/>
      <c r="I143" s="850"/>
      <c r="J143" s="850"/>
      <c r="K143" s="850"/>
      <c r="L143" s="850"/>
      <c r="M143" s="850"/>
      <c r="N143" s="850"/>
      <c r="O143" s="850"/>
      <c r="P143" s="850"/>
      <c r="Q143" s="374">
        <f t="shared" si="21"/>
        <v>0.10600000000000008</v>
      </c>
      <c r="R143" s="206">
        <v>0.1875</v>
      </c>
    </row>
    <row r="144" spans="1:18">
      <c r="A144" s="485"/>
      <c r="B144" s="482"/>
      <c r="C144" s="475"/>
      <c r="D144" s="476"/>
      <c r="E144" s="476"/>
      <c r="F144" s="476"/>
      <c r="G144" s="476"/>
      <c r="H144" s="850"/>
      <c r="I144" s="850"/>
      <c r="J144" s="850"/>
      <c r="K144" s="850"/>
      <c r="L144" s="850"/>
      <c r="M144" s="850"/>
      <c r="N144" s="850"/>
      <c r="O144" s="850"/>
      <c r="P144" s="850"/>
      <c r="Q144" s="374">
        <f t="shared" si="21"/>
        <v>0.10700000000000008</v>
      </c>
      <c r="R144" s="206">
        <v>0.1875</v>
      </c>
    </row>
    <row r="145" spans="1:18" ht="12.75" customHeight="1">
      <c r="A145" s="485"/>
      <c r="B145" s="482"/>
      <c r="C145" s="475"/>
      <c r="D145" s="476"/>
      <c r="E145" s="476"/>
      <c r="F145" s="476"/>
      <c r="G145" s="476"/>
      <c r="H145" s="850"/>
      <c r="I145" s="850"/>
      <c r="J145" s="850"/>
      <c r="K145" s="850"/>
      <c r="L145" s="850"/>
      <c r="M145" s="850"/>
      <c r="N145" s="850"/>
      <c r="O145" s="850"/>
      <c r="P145" s="850"/>
      <c r="Q145" s="374">
        <f t="shared" si="21"/>
        <v>0.10800000000000008</v>
      </c>
      <c r="R145" s="206">
        <v>0.1875</v>
      </c>
    </row>
    <row r="146" spans="1:18" ht="12.75" customHeight="1">
      <c r="A146" s="485"/>
      <c r="B146" s="482"/>
      <c r="C146" s="475"/>
      <c r="D146" s="476"/>
      <c r="E146" s="476"/>
      <c r="F146" s="476"/>
      <c r="G146" s="476"/>
      <c r="H146" s="850"/>
      <c r="I146" s="850"/>
      <c r="J146" s="850"/>
      <c r="K146" s="850"/>
      <c r="L146" s="850"/>
      <c r="M146" s="850"/>
      <c r="N146" s="850"/>
      <c r="O146" s="850"/>
      <c r="P146" s="850"/>
      <c r="Q146" s="374">
        <f t="shared" si="21"/>
        <v>0.10900000000000008</v>
      </c>
      <c r="R146" s="206">
        <v>0.1875</v>
      </c>
    </row>
    <row r="147" spans="1:18" ht="14.25" customHeight="1">
      <c r="A147" s="485"/>
      <c r="B147" s="482"/>
      <c r="C147" s="475"/>
      <c r="D147" s="476"/>
      <c r="E147" s="476"/>
      <c r="F147" s="476"/>
      <c r="G147" s="476"/>
      <c r="H147" s="850"/>
      <c r="I147" s="850"/>
      <c r="J147" s="850"/>
      <c r="K147" s="850"/>
      <c r="L147" s="850"/>
      <c r="M147" s="850"/>
      <c r="N147" s="850"/>
      <c r="O147" s="850"/>
      <c r="P147" s="850"/>
      <c r="Q147" s="374">
        <f t="shared" si="21"/>
        <v>0.11000000000000008</v>
      </c>
      <c r="R147" s="206">
        <v>0.1875</v>
      </c>
    </row>
    <row r="148" spans="1:18" ht="12.75" customHeight="1">
      <c r="A148" s="491"/>
      <c r="B148" s="491"/>
      <c r="C148" s="491"/>
      <c r="D148" s="491"/>
      <c r="E148" s="491"/>
      <c r="F148" s="491"/>
      <c r="G148" s="491"/>
      <c r="H148" s="479"/>
      <c r="I148" s="479"/>
      <c r="J148" s="479"/>
      <c r="K148" s="479"/>
      <c r="L148" s="479"/>
      <c r="M148" s="479"/>
      <c r="N148" s="479"/>
      <c r="O148" s="479"/>
      <c r="P148" s="479"/>
      <c r="Q148" s="374">
        <f t="shared" si="21"/>
        <v>0.11100000000000008</v>
      </c>
      <c r="R148" s="206">
        <v>0.1875</v>
      </c>
    </row>
    <row r="149" spans="1:18">
      <c r="A149" s="353"/>
      <c r="B149" s="353"/>
      <c r="C149" s="487"/>
      <c r="D149" s="475"/>
      <c r="E149" s="476"/>
      <c r="F149" s="476"/>
      <c r="G149" s="476"/>
      <c r="H149" s="476"/>
      <c r="I149" s="476"/>
      <c r="J149" s="476"/>
      <c r="K149" s="476"/>
      <c r="L149" s="476"/>
      <c r="O149" s="340"/>
      <c r="Q149" s="374">
        <f t="shared" si="21"/>
        <v>0.11200000000000009</v>
      </c>
      <c r="R149" s="206">
        <v>0.1875</v>
      </c>
    </row>
    <row r="150" spans="1:18">
      <c r="A150" s="480"/>
      <c r="B150" s="473"/>
      <c r="C150" s="473"/>
      <c r="D150" s="473"/>
      <c r="E150" s="473"/>
      <c r="F150" s="473"/>
      <c r="G150" s="473"/>
      <c r="H150" s="476"/>
      <c r="I150" s="476"/>
      <c r="J150" s="476"/>
      <c r="K150" s="476"/>
      <c r="L150" s="476"/>
      <c r="O150" s="340"/>
      <c r="Q150" s="374">
        <f t="shared" si="21"/>
        <v>0.11300000000000009</v>
      </c>
      <c r="R150" s="206">
        <v>0.1875</v>
      </c>
    </row>
    <row r="151" spans="1:18" ht="12.75" customHeight="1">
      <c r="A151" s="478"/>
      <c r="B151" s="478"/>
      <c r="C151" s="478"/>
      <c r="D151" s="478"/>
      <c r="E151" s="478"/>
      <c r="F151" s="478"/>
      <c r="G151" s="478"/>
      <c r="H151" s="478"/>
      <c r="I151" s="478"/>
      <c r="J151" s="478"/>
      <c r="K151" s="478"/>
      <c r="L151" s="478"/>
      <c r="M151" s="478"/>
      <c r="N151" s="478"/>
      <c r="O151" s="478"/>
      <c r="P151" s="478"/>
      <c r="Q151" s="374">
        <f t="shared" si="21"/>
        <v>0.11400000000000009</v>
      </c>
      <c r="R151" s="206">
        <v>0.1875</v>
      </c>
    </row>
    <row r="152" spans="1:18">
      <c r="A152" s="480"/>
      <c r="B152" s="473"/>
      <c r="C152" s="473"/>
      <c r="D152" s="473"/>
      <c r="E152" s="473"/>
      <c r="F152" s="473"/>
      <c r="G152" s="473"/>
      <c r="H152" s="473"/>
      <c r="I152" s="476"/>
      <c r="J152" s="476"/>
      <c r="K152" s="476"/>
      <c r="L152" s="476"/>
      <c r="O152" s="340"/>
      <c r="Q152" s="374">
        <f t="shared" si="21"/>
        <v>0.11500000000000009</v>
      </c>
      <c r="R152" s="206">
        <v>0.1875</v>
      </c>
    </row>
    <row r="153" spans="1:18" ht="12.75" customHeight="1">
      <c r="A153" s="492"/>
      <c r="B153" s="492"/>
      <c r="C153" s="492"/>
      <c r="D153" s="476"/>
      <c r="E153" s="476"/>
      <c r="F153" s="476"/>
      <c r="G153" s="476"/>
      <c r="H153" s="476"/>
      <c r="I153" s="476"/>
      <c r="J153" s="476"/>
      <c r="K153" s="476"/>
      <c r="L153" s="476"/>
      <c r="O153" s="340"/>
      <c r="Q153" s="374">
        <f t="shared" si="21"/>
        <v>0.11600000000000009</v>
      </c>
      <c r="R153" s="206">
        <v>0.1875</v>
      </c>
    </row>
    <row r="154" spans="1:18" ht="12.75" customHeight="1">
      <c r="A154" s="353"/>
      <c r="B154" s="353"/>
      <c r="C154" s="353"/>
      <c r="D154" s="353"/>
      <c r="E154" s="353"/>
      <c r="F154" s="353"/>
      <c r="G154" s="353"/>
      <c r="H154" s="353"/>
      <c r="I154" s="476"/>
      <c r="J154" s="476"/>
      <c r="K154" s="476"/>
      <c r="L154" s="476"/>
      <c r="O154" s="340"/>
      <c r="Q154" s="374">
        <f t="shared" si="21"/>
        <v>0.11700000000000009</v>
      </c>
      <c r="R154" s="206">
        <v>0.1875</v>
      </c>
    </row>
    <row r="155" spans="1:18">
      <c r="A155" s="480"/>
      <c r="B155" s="473"/>
      <c r="C155" s="473"/>
      <c r="D155" s="473"/>
      <c r="E155" s="473"/>
      <c r="F155" s="473"/>
      <c r="G155" s="473"/>
      <c r="H155" s="476"/>
      <c r="I155" s="476"/>
      <c r="J155" s="476"/>
      <c r="K155" s="476"/>
      <c r="L155" s="476"/>
      <c r="O155" s="340"/>
      <c r="Q155" s="374">
        <f t="shared" si="21"/>
        <v>0.11800000000000009</v>
      </c>
      <c r="R155" s="206">
        <v>0.1875</v>
      </c>
    </row>
    <row r="156" spans="1:18" ht="12.75" customHeight="1">
      <c r="A156" s="476"/>
      <c r="B156" s="476"/>
      <c r="C156" s="476"/>
      <c r="D156" s="476"/>
      <c r="E156" s="476"/>
      <c r="F156" s="476"/>
      <c r="G156" s="476"/>
      <c r="H156" s="476"/>
      <c r="I156" s="476"/>
      <c r="J156" s="476"/>
      <c r="K156" s="476"/>
      <c r="L156" s="476"/>
      <c r="O156" s="340"/>
      <c r="Q156" s="374">
        <f t="shared" si="21"/>
        <v>0.11900000000000009</v>
      </c>
      <c r="R156" s="206">
        <v>0.1875</v>
      </c>
    </row>
    <row r="157" spans="1:18">
      <c r="A157" s="485"/>
      <c r="B157" s="353"/>
      <c r="C157" s="353"/>
      <c r="D157" s="476"/>
      <c r="E157" s="476"/>
      <c r="F157" s="476"/>
      <c r="G157" s="476"/>
      <c r="H157" s="476"/>
      <c r="I157" s="476"/>
      <c r="J157" s="476"/>
      <c r="K157" s="476"/>
      <c r="L157" s="476"/>
      <c r="O157" s="340"/>
      <c r="Q157" s="374">
        <f t="shared" si="21"/>
        <v>0.12000000000000009</v>
      </c>
      <c r="R157" s="206">
        <v>0.1875</v>
      </c>
    </row>
    <row r="158" spans="1:18">
      <c r="A158" s="475"/>
      <c r="B158" s="476"/>
      <c r="C158" s="476"/>
      <c r="D158" s="476"/>
      <c r="E158" s="476"/>
      <c r="F158" s="476"/>
      <c r="G158" s="476"/>
      <c r="H158" s="476"/>
      <c r="I158" s="476"/>
      <c r="J158" s="476"/>
      <c r="K158" s="476"/>
      <c r="L158" s="476"/>
      <c r="O158" s="340"/>
      <c r="Q158" s="374">
        <f t="shared" si="21"/>
        <v>0.12100000000000009</v>
      </c>
      <c r="R158" s="206">
        <v>0.1875</v>
      </c>
    </row>
    <row r="159" spans="1:18" ht="12.75" customHeight="1">
      <c r="A159" s="485"/>
      <c r="B159" s="480"/>
      <c r="C159" s="473"/>
      <c r="D159" s="473"/>
      <c r="E159" s="473"/>
      <c r="F159" s="473"/>
      <c r="G159" s="473"/>
      <c r="H159" s="476"/>
      <c r="I159" s="476"/>
      <c r="J159" s="476"/>
      <c r="K159" s="476"/>
      <c r="L159" s="476"/>
      <c r="O159" s="340"/>
      <c r="Q159" s="374">
        <f t="shared" si="21"/>
        <v>0.12200000000000009</v>
      </c>
      <c r="R159" s="206">
        <v>0.1875</v>
      </c>
    </row>
    <row r="160" spans="1:18" ht="12.75" customHeight="1">
      <c r="A160" s="849"/>
      <c r="B160" s="493"/>
      <c r="C160" s="494"/>
      <c r="D160" s="494"/>
      <c r="E160" s="494"/>
      <c r="F160" s="494"/>
      <c r="G160" s="494"/>
      <c r="H160" s="476"/>
      <c r="I160" s="476"/>
      <c r="J160" s="476"/>
      <c r="K160" s="476"/>
      <c r="L160" s="476"/>
      <c r="O160" s="340"/>
      <c r="Q160" s="374">
        <f t="shared" si="21"/>
        <v>0.1230000000000001</v>
      </c>
      <c r="R160" s="206">
        <v>0.1875</v>
      </c>
    </row>
    <row r="161" spans="1:18">
      <c r="A161" s="849"/>
      <c r="B161" s="494"/>
      <c r="C161" s="494"/>
      <c r="D161" s="494"/>
      <c r="E161" s="494"/>
      <c r="F161" s="494"/>
      <c r="G161" s="494"/>
      <c r="H161" s="473"/>
      <c r="I161" s="476"/>
      <c r="J161" s="476"/>
      <c r="K161" s="476"/>
      <c r="L161" s="476"/>
      <c r="O161" s="340"/>
      <c r="Q161" s="374">
        <f t="shared" si="21"/>
        <v>0.1240000000000001</v>
      </c>
      <c r="R161" s="206">
        <v>0.1875</v>
      </c>
    </row>
    <row r="162" spans="1:18" ht="12.75" customHeight="1">
      <c r="A162" s="485"/>
      <c r="B162" s="473"/>
      <c r="C162" s="473"/>
      <c r="D162" s="473"/>
      <c r="E162" s="473"/>
      <c r="F162" s="473"/>
      <c r="G162" s="473"/>
      <c r="H162" s="476"/>
      <c r="I162" s="476"/>
      <c r="J162" s="476"/>
      <c r="K162" s="476"/>
      <c r="L162" s="476"/>
      <c r="O162" s="340"/>
      <c r="Q162" s="374">
        <f t="shared" si="21"/>
        <v>0.12500000000000008</v>
      </c>
      <c r="R162" s="206">
        <v>0.1875</v>
      </c>
    </row>
    <row r="163" spans="1:18">
      <c r="A163" s="485"/>
      <c r="B163" s="493"/>
      <c r="C163" s="473"/>
      <c r="D163" s="473"/>
      <c r="E163" s="473"/>
      <c r="F163" s="473"/>
      <c r="G163" s="473"/>
      <c r="H163" s="476"/>
      <c r="I163" s="476"/>
      <c r="J163" s="476"/>
      <c r="K163" s="476"/>
      <c r="L163" s="476"/>
      <c r="O163" s="340"/>
      <c r="Q163" s="374">
        <f t="shared" si="21"/>
        <v>0.12600000000000008</v>
      </c>
      <c r="R163" s="206">
        <v>0.1875</v>
      </c>
    </row>
    <row r="164" spans="1:18" ht="12.75" customHeight="1">
      <c r="A164" s="476"/>
      <c r="B164" s="476"/>
      <c r="C164" s="476"/>
      <c r="D164" s="476"/>
      <c r="E164" s="476"/>
      <c r="F164" s="476"/>
      <c r="G164" s="476"/>
      <c r="H164" s="476"/>
      <c r="I164" s="476"/>
      <c r="J164" s="476"/>
      <c r="K164" s="476"/>
      <c r="L164" s="476"/>
      <c r="O164" s="340"/>
      <c r="Q164" s="374">
        <f t="shared" si="21"/>
        <v>0.12700000000000009</v>
      </c>
      <c r="R164" s="206">
        <v>0.1875</v>
      </c>
    </row>
    <row r="165" spans="1:18" ht="14.25" customHeight="1">
      <c r="A165" s="485"/>
      <c r="B165" s="495"/>
      <c r="C165" s="475"/>
      <c r="D165" s="476"/>
      <c r="E165" s="476"/>
      <c r="F165" s="476"/>
      <c r="G165" s="476"/>
      <c r="H165" s="473"/>
      <c r="I165" s="476"/>
      <c r="J165" s="476"/>
      <c r="K165" s="476"/>
      <c r="L165" s="476"/>
      <c r="O165" s="340"/>
      <c r="Q165" s="374">
        <f t="shared" si="21"/>
        <v>0.12800000000000009</v>
      </c>
      <c r="R165" s="206">
        <v>0.1875</v>
      </c>
    </row>
    <row r="166" spans="1:18" ht="12.75" customHeight="1">
      <c r="A166" s="476"/>
      <c r="B166" s="476"/>
      <c r="C166" s="476"/>
      <c r="D166" s="476"/>
      <c r="E166" s="476"/>
      <c r="F166" s="476"/>
      <c r="G166" s="476"/>
      <c r="H166" s="494"/>
      <c r="I166" s="476"/>
      <c r="J166" s="476"/>
      <c r="K166" s="476"/>
      <c r="L166" s="476"/>
      <c r="O166" s="340"/>
      <c r="Q166" s="374">
        <f t="shared" si="21"/>
        <v>0.12900000000000009</v>
      </c>
      <c r="R166" s="206">
        <v>0.1875</v>
      </c>
    </row>
    <row r="167" spans="1:18">
      <c r="A167" s="485"/>
      <c r="B167" s="485"/>
      <c r="C167" s="476"/>
      <c r="D167" s="476"/>
      <c r="E167" s="476"/>
      <c r="F167" s="476"/>
      <c r="G167" s="476"/>
      <c r="H167" s="494"/>
      <c r="I167" s="476"/>
      <c r="J167" s="476"/>
      <c r="K167" s="476"/>
      <c r="L167" s="476"/>
      <c r="O167" s="340"/>
      <c r="Q167" s="374">
        <f t="shared" ref="Q167:Q230" si="22">Q166+0.001</f>
        <v>0.13000000000000009</v>
      </c>
      <c r="R167" s="206">
        <v>0.1875</v>
      </c>
    </row>
    <row r="168" spans="1:18" ht="12.75" customHeight="1">
      <c r="A168" s="485"/>
      <c r="B168" s="353"/>
      <c r="C168" s="353"/>
      <c r="D168" s="353"/>
      <c r="E168" s="476"/>
      <c r="F168" s="476"/>
      <c r="G168" s="476"/>
      <c r="H168" s="473"/>
      <c r="I168" s="476"/>
      <c r="J168" s="476"/>
      <c r="K168" s="476"/>
      <c r="L168" s="476"/>
      <c r="O168" s="340"/>
      <c r="Q168" s="374">
        <f t="shared" si="22"/>
        <v>0.13100000000000009</v>
      </c>
      <c r="R168" s="206">
        <v>0.1875</v>
      </c>
    </row>
    <row r="169" spans="1:18">
      <c r="A169" s="485"/>
      <c r="B169" s="482"/>
      <c r="C169" s="475"/>
      <c r="D169" s="476"/>
      <c r="E169" s="476"/>
      <c r="F169" s="476"/>
      <c r="G169" s="476"/>
      <c r="H169" s="473"/>
      <c r="I169" s="476"/>
      <c r="J169" s="476"/>
      <c r="K169" s="476"/>
      <c r="L169" s="476"/>
      <c r="O169" s="340"/>
      <c r="Q169" s="374">
        <f t="shared" si="22"/>
        <v>0.13200000000000009</v>
      </c>
      <c r="R169" s="206">
        <v>0.1875</v>
      </c>
    </row>
    <row r="170" spans="1:18">
      <c r="A170" s="485"/>
      <c r="B170" s="353"/>
      <c r="C170" s="353"/>
      <c r="D170" s="476"/>
      <c r="E170" s="476"/>
      <c r="F170" s="476"/>
      <c r="G170" s="476"/>
      <c r="H170" s="476"/>
      <c r="I170" s="476"/>
      <c r="K170" s="489"/>
      <c r="L170" s="476"/>
      <c r="O170" s="340"/>
      <c r="Q170" s="374">
        <f t="shared" si="22"/>
        <v>0.13300000000000009</v>
      </c>
      <c r="R170" s="206">
        <v>0.1875</v>
      </c>
    </row>
    <row r="171" spans="1:18">
      <c r="A171" s="485"/>
      <c r="B171" s="482"/>
      <c r="C171" s="475"/>
      <c r="D171" s="476"/>
      <c r="E171" s="476"/>
      <c r="F171" s="476"/>
      <c r="G171" s="476"/>
      <c r="H171" s="476"/>
      <c r="I171" s="476"/>
      <c r="J171" s="476"/>
      <c r="K171" s="476"/>
      <c r="L171" s="476"/>
      <c r="O171" s="340"/>
      <c r="Q171" s="374">
        <f t="shared" si="22"/>
        <v>0.13400000000000009</v>
      </c>
      <c r="R171" s="206">
        <v>0.1875</v>
      </c>
    </row>
    <row r="172" spans="1:18">
      <c r="A172" s="485"/>
      <c r="B172" s="482"/>
      <c r="C172" s="475"/>
      <c r="D172" s="476"/>
      <c r="E172" s="476"/>
      <c r="F172" s="476"/>
      <c r="G172" s="476"/>
      <c r="H172" s="476"/>
      <c r="I172" s="476"/>
      <c r="J172" s="476"/>
      <c r="K172" s="476"/>
      <c r="L172" s="476"/>
      <c r="O172" s="340"/>
      <c r="Q172" s="374">
        <f t="shared" si="22"/>
        <v>0.13500000000000009</v>
      </c>
      <c r="R172" s="206">
        <v>0.1875</v>
      </c>
    </row>
    <row r="173" spans="1:18" ht="12.75" customHeight="1">
      <c r="A173" s="476"/>
      <c r="B173" s="476"/>
      <c r="C173" s="476"/>
      <c r="D173" s="476"/>
      <c r="E173" s="476"/>
      <c r="F173" s="476"/>
      <c r="G173" s="476"/>
      <c r="H173" s="476"/>
      <c r="I173" s="476"/>
      <c r="J173" s="476"/>
      <c r="K173" s="476"/>
      <c r="L173" s="476"/>
      <c r="O173" s="340"/>
      <c r="Q173" s="374">
        <f t="shared" si="22"/>
        <v>0.13600000000000009</v>
      </c>
      <c r="R173" s="206">
        <v>0.1875</v>
      </c>
    </row>
    <row r="174" spans="1:18">
      <c r="A174" s="478"/>
      <c r="B174" s="478"/>
      <c r="C174" s="478"/>
      <c r="D174" s="478"/>
      <c r="E174" s="478"/>
      <c r="F174" s="478"/>
      <c r="G174" s="478"/>
      <c r="H174" s="478"/>
      <c r="I174" s="478"/>
      <c r="J174" s="478"/>
      <c r="K174" s="478"/>
      <c r="L174" s="478"/>
      <c r="M174" s="478"/>
      <c r="N174" s="478"/>
      <c r="O174" s="478"/>
      <c r="P174" s="478"/>
      <c r="Q174" s="374">
        <f t="shared" si="22"/>
        <v>0.13700000000000009</v>
      </c>
      <c r="R174" s="206">
        <v>0.1875</v>
      </c>
    </row>
    <row r="175" spans="1:18" ht="12.75" customHeight="1">
      <c r="A175" s="476"/>
      <c r="B175" s="476"/>
      <c r="C175" s="476"/>
      <c r="D175" s="476"/>
      <c r="E175" s="476"/>
      <c r="F175" s="476"/>
      <c r="G175" s="476"/>
      <c r="H175" s="476"/>
      <c r="J175" s="476"/>
      <c r="K175" s="489"/>
      <c r="L175" s="476"/>
      <c r="O175" s="340"/>
      <c r="Q175" s="374">
        <f t="shared" si="22"/>
        <v>0.13800000000000009</v>
      </c>
      <c r="R175" s="206">
        <v>0.1875</v>
      </c>
    </row>
    <row r="176" spans="1:18">
      <c r="A176" s="476"/>
      <c r="B176" s="476"/>
      <c r="C176" s="476"/>
      <c r="D176" s="476"/>
      <c r="E176" s="476"/>
      <c r="F176" s="476"/>
      <c r="G176" s="476"/>
      <c r="H176" s="476"/>
      <c r="I176" s="476"/>
      <c r="J176" s="476"/>
      <c r="K176" s="476"/>
      <c r="L176" s="476"/>
      <c r="O176" s="340"/>
      <c r="Q176" s="374">
        <f t="shared" si="22"/>
        <v>0.1390000000000001</v>
      </c>
      <c r="R176" s="206">
        <v>0.1875</v>
      </c>
    </row>
    <row r="177" spans="1:18">
      <c r="A177" s="476"/>
      <c r="B177" s="476"/>
      <c r="C177" s="485"/>
      <c r="D177" s="476"/>
      <c r="E177" s="485"/>
      <c r="F177" s="482"/>
      <c r="G177" s="475"/>
      <c r="H177" s="476"/>
      <c r="I177" s="476"/>
      <c r="J177" s="476"/>
      <c r="K177" s="476"/>
      <c r="L177" s="476"/>
      <c r="O177" s="340"/>
      <c r="Q177" s="374">
        <f t="shared" si="22"/>
        <v>0.1400000000000001</v>
      </c>
      <c r="R177" s="206">
        <v>0.1875</v>
      </c>
    </row>
    <row r="178" spans="1:18">
      <c r="A178" s="476"/>
      <c r="B178" s="476"/>
      <c r="C178" s="476"/>
      <c r="D178" s="476"/>
      <c r="E178" s="476"/>
      <c r="F178" s="476"/>
      <c r="G178" s="476"/>
      <c r="H178" s="476"/>
      <c r="I178" s="476"/>
      <c r="J178" s="476"/>
      <c r="K178" s="476"/>
      <c r="L178" s="476"/>
      <c r="O178" s="340"/>
      <c r="Q178" s="374">
        <f t="shared" si="22"/>
        <v>0.1410000000000001</v>
      </c>
      <c r="R178" s="206">
        <v>0.1875</v>
      </c>
    </row>
    <row r="179" spans="1:18">
      <c r="A179" s="485"/>
      <c r="B179" s="476"/>
      <c r="C179" s="476"/>
      <c r="D179" s="476"/>
      <c r="E179" s="476"/>
      <c r="F179" s="476"/>
      <c r="G179" s="476"/>
      <c r="H179" s="476"/>
      <c r="I179" s="476"/>
      <c r="J179" s="476"/>
      <c r="K179" s="476"/>
      <c r="L179" s="476"/>
      <c r="O179" s="340"/>
      <c r="Q179" s="374">
        <f t="shared" si="22"/>
        <v>0.1420000000000001</v>
      </c>
      <c r="R179" s="206">
        <v>0.1875</v>
      </c>
    </row>
    <row r="180" spans="1:18">
      <c r="A180" s="476"/>
      <c r="B180" s="476"/>
      <c r="C180" s="476"/>
      <c r="D180" s="476"/>
      <c r="E180" s="476"/>
      <c r="F180" s="476"/>
      <c r="G180" s="476"/>
      <c r="H180" s="473"/>
      <c r="I180" s="476"/>
      <c r="J180" s="476"/>
      <c r="K180" s="476"/>
      <c r="L180" s="476"/>
      <c r="O180" s="340"/>
      <c r="Q180" s="374">
        <f t="shared" si="22"/>
        <v>0.1430000000000001</v>
      </c>
      <c r="R180" s="206">
        <v>0.1875</v>
      </c>
    </row>
    <row r="181" spans="1:18">
      <c r="A181" s="476"/>
      <c r="B181" s="476"/>
      <c r="C181" s="485"/>
      <c r="D181" s="476"/>
      <c r="E181" s="485"/>
      <c r="F181" s="490"/>
      <c r="G181" s="475"/>
      <c r="H181" s="476"/>
      <c r="I181" s="476"/>
      <c r="J181" s="476"/>
      <c r="K181" s="476"/>
      <c r="L181" s="476"/>
      <c r="O181" s="340"/>
      <c r="Q181" s="374">
        <f t="shared" si="22"/>
        <v>0.1440000000000001</v>
      </c>
      <c r="R181" s="206">
        <v>0.1875</v>
      </c>
    </row>
    <row r="182" spans="1:18">
      <c r="A182" s="476"/>
      <c r="B182" s="476"/>
      <c r="C182" s="476"/>
      <c r="D182" s="476"/>
      <c r="E182" s="476"/>
      <c r="F182" s="476"/>
      <c r="G182" s="476"/>
      <c r="H182" s="476"/>
      <c r="I182" s="476"/>
      <c r="J182" s="476"/>
      <c r="K182" s="476"/>
      <c r="L182" s="476"/>
      <c r="O182" s="340"/>
      <c r="Q182" s="374">
        <f t="shared" si="22"/>
        <v>0.1450000000000001</v>
      </c>
      <c r="R182" s="206">
        <v>0.1875</v>
      </c>
    </row>
    <row r="183" spans="1:18">
      <c r="A183" s="480"/>
      <c r="B183" s="473"/>
      <c r="C183" s="473"/>
      <c r="D183" s="473"/>
      <c r="E183" s="473"/>
      <c r="F183" s="473"/>
      <c r="G183" s="473"/>
      <c r="H183" s="476"/>
      <c r="I183" s="476"/>
      <c r="J183" s="476"/>
      <c r="K183" s="476"/>
      <c r="L183" s="476"/>
      <c r="O183" s="340"/>
      <c r="Q183" s="374">
        <f t="shared" si="22"/>
        <v>0.1460000000000001</v>
      </c>
      <c r="R183" s="206">
        <v>0.1875</v>
      </c>
    </row>
    <row r="184" spans="1:18">
      <c r="A184" s="476"/>
      <c r="B184" s="476"/>
      <c r="C184" s="476"/>
      <c r="D184" s="476"/>
      <c r="E184" s="476"/>
      <c r="F184" s="476"/>
      <c r="G184" s="476"/>
      <c r="H184" s="476"/>
      <c r="I184" s="476"/>
      <c r="J184" s="476"/>
      <c r="K184" s="476"/>
      <c r="L184" s="476"/>
      <c r="O184" s="340"/>
      <c r="Q184" s="374">
        <f t="shared" si="22"/>
        <v>0.1470000000000001</v>
      </c>
      <c r="R184" s="206">
        <v>0.1875</v>
      </c>
    </row>
    <row r="185" spans="1:18">
      <c r="A185" s="476"/>
      <c r="B185" s="476"/>
      <c r="C185" s="485"/>
      <c r="D185" s="496"/>
      <c r="E185" s="482"/>
      <c r="F185" s="475"/>
      <c r="G185" s="476"/>
      <c r="H185" s="476"/>
      <c r="I185" s="476"/>
      <c r="J185" s="476"/>
      <c r="K185" s="476"/>
      <c r="L185" s="476"/>
      <c r="O185" s="340"/>
      <c r="Q185" s="374">
        <f t="shared" si="22"/>
        <v>0.1480000000000001</v>
      </c>
      <c r="R185" s="206">
        <v>0.1875</v>
      </c>
    </row>
    <row r="186" spans="1:18">
      <c r="A186" s="485"/>
      <c r="B186" s="476"/>
      <c r="C186" s="476"/>
      <c r="D186" s="476"/>
      <c r="E186" s="476"/>
      <c r="F186" s="476"/>
      <c r="G186" s="476"/>
      <c r="H186" s="476"/>
      <c r="I186" s="476"/>
      <c r="J186" s="476"/>
      <c r="K186" s="476"/>
      <c r="L186" s="476"/>
      <c r="O186" s="340"/>
      <c r="Q186" s="374">
        <f t="shared" si="22"/>
        <v>0.1490000000000001</v>
      </c>
      <c r="R186" s="206">
        <v>0.1875</v>
      </c>
    </row>
    <row r="187" spans="1:18">
      <c r="A187" s="476"/>
      <c r="B187" s="476"/>
      <c r="C187" s="485"/>
      <c r="D187" s="496"/>
      <c r="E187" s="490"/>
      <c r="F187" s="475"/>
      <c r="G187" s="476"/>
      <c r="H187" s="476"/>
      <c r="I187" s="476"/>
      <c r="J187" s="476"/>
      <c r="K187" s="476"/>
      <c r="L187" s="476"/>
      <c r="O187" s="340"/>
      <c r="Q187" s="374">
        <f t="shared" si="22"/>
        <v>0.15000000000000011</v>
      </c>
      <c r="R187" s="206">
        <v>0.1875</v>
      </c>
    </row>
    <row r="188" spans="1:18" ht="12.75" customHeight="1">
      <c r="A188" s="476"/>
      <c r="B188" s="476"/>
      <c r="C188" s="476"/>
      <c r="D188" s="476"/>
      <c r="E188" s="476"/>
      <c r="F188" s="476"/>
      <c r="G188" s="476"/>
      <c r="H188" s="476"/>
      <c r="I188" s="476"/>
      <c r="J188" s="476"/>
      <c r="K188" s="476"/>
      <c r="L188" s="476"/>
      <c r="O188" s="340"/>
      <c r="Q188" s="374">
        <f t="shared" si="22"/>
        <v>0.15100000000000011</v>
      </c>
      <c r="R188" s="206">
        <v>0.1875</v>
      </c>
    </row>
    <row r="189" spans="1:18">
      <c r="A189" s="497"/>
      <c r="B189" s="473"/>
      <c r="C189" s="473"/>
      <c r="D189" s="473"/>
      <c r="E189" s="473"/>
      <c r="F189" s="473"/>
      <c r="G189" s="473"/>
      <c r="H189" s="473"/>
      <c r="I189" s="476"/>
      <c r="J189" s="476"/>
      <c r="K189" s="476"/>
      <c r="L189" s="476"/>
      <c r="O189" s="340"/>
      <c r="Q189" s="374">
        <f t="shared" si="22"/>
        <v>0.15200000000000011</v>
      </c>
      <c r="R189" s="206">
        <v>0.1875</v>
      </c>
    </row>
    <row r="190" spans="1:18">
      <c r="A190" s="476"/>
      <c r="B190" s="476"/>
      <c r="C190" s="476"/>
      <c r="D190" s="476"/>
      <c r="E190" s="476"/>
      <c r="F190" s="476"/>
      <c r="G190" s="476"/>
      <c r="H190" s="476"/>
      <c r="I190" s="476"/>
      <c r="J190" s="476"/>
      <c r="K190" s="476"/>
      <c r="L190" s="476"/>
      <c r="O190" s="340"/>
      <c r="Q190" s="374">
        <f t="shared" si="22"/>
        <v>0.15300000000000011</v>
      </c>
      <c r="R190" s="206">
        <v>0.1875</v>
      </c>
    </row>
    <row r="191" spans="1:18">
      <c r="A191" s="485"/>
      <c r="B191" s="484"/>
      <c r="C191" s="475"/>
      <c r="D191" s="476"/>
      <c r="E191" s="476"/>
      <c r="F191" s="476"/>
      <c r="G191" s="476"/>
      <c r="H191" s="476"/>
      <c r="I191" s="476"/>
      <c r="J191" s="476"/>
      <c r="K191" s="476"/>
      <c r="L191" s="476"/>
      <c r="O191" s="340"/>
      <c r="Q191" s="374">
        <f t="shared" si="22"/>
        <v>0.15400000000000011</v>
      </c>
      <c r="R191" s="206">
        <v>0.1875</v>
      </c>
    </row>
    <row r="192" spans="1:18">
      <c r="A192" s="485"/>
      <c r="B192" s="485"/>
      <c r="C192" s="475"/>
      <c r="D192" s="476"/>
      <c r="E192" s="476"/>
      <c r="F192" s="476"/>
      <c r="G192" s="476"/>
      <c r="H192" s="476"/>
      <c r="I192" s="476"/>
      <c r="J192" s="476"/>
      <c r="K192" s="476"/>
      <c r="L192" s="476"/>
      <c r="O192" s="340"/>
      <c r="Q192" s="374">
        <f t="shared" si="22"/>
        <v>0.15500000000000011</v>
      </c>
      <c r="R192" s="206">
        <v>0.1875</v>
      </c>
    </row>
    <row r="193" spans="1:18">
      <c r="A193" s="476"/>
      <c r="B193" s="476"/>
      <c r="C193" s="476"/>
      <c r="D193" s="476"/>
      <c r="E193" s="476"/>
      <c r="F193" s="476"/>
      <c r="G193" s="476"/>
      <c r="H193" s="476"/>
      <c r="I193" s="476"/>
      <c r="J193" s="476"/>
      <c r="K193" s="476"/>
      <c r="L193" s="476"/>
      <c r="O193" s="340"/>
      <c r="Q193" s="374">
        <f t="shared" si="22"/>
        <v>0.15600000000000011</v>
      </c>
      <c r="R193" s="206">
        <v>0.1875</v>
      </c>
    </row>
    <row r="194" spans="1:18">
      <c r="A194" s="492"/>
      <c r="B194" s="492"/>
      <c r="C194" s="492"/>
      <c r="D194" s="476"/>
      <c r="E194" s="476"/>
      <c r="F194" s="476"/>
      <c r="G194" s="476"/>
      <c r="H194" s="476"/>
      <c r="I194" s="476"/>
      <c r="J194" s="476"/>
      <c r="K194" s="476"/>
      <c r="L194" s="476"/>
      <c r="O194" s="340"/>
      <c r="Q194" s="374">
        <f t="shared" si="22"/>
        <v>0.15700000000000011</v>
      </c>
      <c r="R194" s="206">
        <v>0.1875</v>
      </c>
    </row>
    <row r="195" spans="1:18">
      <c r="A195" s="476"/>
      <c r="B195" s="476"/>
      <c r="C195" s="476"/>
      <c r="D195" s="476"/>
      <c r="E195" s="476"/>
      <c r="F195" s="476"/>
      <c r="G195" s="476"/>
      <c r="H195" s="476"/>
      <c r="I195" s="476"/>
      <c r="J195" s="476"/>
      <c r="K195" s="476"/>
      <c r="L195" s="476"/>
      <c r="O195" s="340"/>
      <c r="Q195" s="374">
        <f t="shared" si="22"/>
        <v>0.15800000000000011</v>
      </c>
      <c r="R195" s="206">
        <v>0.1875</v>
      </c>
    </row>
    <row r="196" spans="1:18">
      <c r="A196" s="485"/>
      <c r="B196" s="490"/>
      <c r="C196" s="475"/>
      <c r="D196" s="485"/>
      <c r="E196" s="482"/>
      <c r="F196" s="475"/>
      <c r="G196" s="476"/>
      <c r="H196" s="476"/>
      <c r="I196" s="476"/>
      <c r="J196" s="476"/>
      <c r="K196" s="476"/>
      <c r="L196" s="476"/>
      <c r="O196" s="340"/>
      <c r="Q196" s="374">
        <f t="shared" si="22"/>
        <v>0.15900000000000011</v>
      </c>
      <c r="R196" s="206">
        <v>0.1875</v>
      </c>
    </row>
    <row r="197" spans="1:18" ht="12.75" customHeight="1">
      <c r="A197" s="476"/>
      <c r="B197" s="476"/>
      <c r="C197" s="476"/>
      <c r="D197" s="476"/>
      <c r="E197" s="476"/>
      <c r="F197" s="476"/>
      <c r="G197" s="476"/>
      <c r="H197" s="476"/>
      <c r="I197" s="476"/>
      <c r="J197" s="476"/>
      <c r="K197" s="476"/>
      <c r="L197" s="476"/>
      <c r="O197" s="340"/>
      <c r="Q197" s="374">
        <f t="shared" si="22"/>
        <v>0.16000000000000011</v>
      </c>
      <c r="R197" s="206">
        <v>0.1875</v>
      </c>
    </row>
    <row r="198" spans="1:18">
      <c r="A198" s="476"/>
      <c r="B198" s="476"/>
      <c r="C198" s="485"/>
      <c r="D198" s="485"/>
      <c r="E198" s="475"/>
      <c r="F198" s="476"/>
      <c r="G198" s="476"/>
      <c r="H198" s="476"/>
      <c r="I198" s="476"/>
      <c r="J198" s="476"/>
      <c r="K198" s="476"/>
      <c r="L198" s="476"/>
      <c r="O198" s="340"/>
      <c r="Q198" s="374">
        <f t="shared" si="22"/>
        <v>0.16100000000000012</v>
      </c>
      <c r="R198" s="206">
        <v>0.1875</v>
      </c>
    </row>
    <row r="199" spans="1:18">
      <c r="A199" s="476"/>
      <c r="B199" s="476"/>
      <c r="C199" s="476"/>
      <c r="D199" s="476"/>
      <c r="E199" s="476"/>
      <c r="F199" s="476"/>
      <c r="G199" s="476"/>
      <c r="H199" s="476"/>
      <c r="I199" s="476"/>
      <c r="J199" s="476"/>
      <c r="K199" s="476"/>
      <c r="L199" s="476"/>
      <c r="O199" s="340"/>
      <c r="Q199" s="374">
        <f t="shared" si="22"/>
        <v>0.16200000000000012</v>
      </c>
      <c r="R199" s="206">
        <v>0.1875</v>
      </c>
    </row>
    <row r="200" spans="1:18">
      <c r="A200" s="485"/>
      <c r="B200" s="476"/>
      <c r="C200" s="485"/>
      <c r="D200" s="490"/>
      <c r="E200" s="475"/>
      <c r="F200" s="476"/>
      <c r="G200" s="476"/>
      <c r="H200" s="476"/>
      <c r="I200" s="476"/>
      <c r="J200" s="476"/>
      <c r="K200" s="476"/>
      <c r="L200" s="476"/>
      <c r="O200" s="340"/>
      <c r="Q200" s="374">
        <f t="shared" si="22"/>
        <v>0.16300000000000012</v>
      </c>
      <c r="R200" s="206">
        <v>0.1875</v>
      </c>
    </row>
    <row r="201" spans="1:18" ht="12.75" customHeight="1">
      <c r="A201" s="476"/>
      <c r="B201" s="476"/>
      <c r="C201" s="476"/>
      <c r="D201" s="476"/>
      <c r="E201" s="476"/>
      <c r="F201" s="476"/>
      <c r="G201" s="476"/>
      <c r="H201" s="476"/>
      <c r="I201" s="476"/>
      <c r="J201" s="476"/>
      <c r="K201" s="476"/>
      <c r="L201" s="476"/>
      <c r="O201" s="340"/>
      <c r="Q201" s="374">
        <f t="shared" si="22"/>
        <v>0.16400000000000012</v>
      </c>
      <c r="R201" s="206">
        <v>0.1875</v>
      </c>
    </row>
    <row r="202" spans="1:18">
      <c r="A202" s="476"/>
      <c r="B202" s="476"/>
      <c r="C202" s="485"/>
      <c r="D202" s="490"/>
      <c r="E202" s="475"/>
      <c r="F202" s="476"/>
      <c r="G202" s="476"/>
      <c r="H202" s="476"/>
      <c r="I202" s="476"/>
      <c r="J202" s="476"/>
      <c r="K202" s="476"/>
      <c r="L202" s="476"/>
      <c r="O202" s="340"/>
      <c r="Q202" s="374">
        <f t="shared" si="22"/>
        <v>0.16500000000000012</v>
      </c>
      <c r="R202" s="206">
        <v>0.1875</v>
      </c>
    </row>
    <row r="203" spans="1:18" ht="12.75" customHeight="1">
      <c r="A203" s="476"/>
      <c r="B203" s="476"/>
      <c r="C203" s="476"/>
      <c r="D203" s="476"/>
      <c r="E203" s="476"/>
      <c r="F203" s="476"/>
      <c r="G203" s="476"/>
      <c r="H203" s="476"/>
      <c r="I203" s="476"/>
      <c r="J203" s="476"/>
      <c r="K203" s="476"/>
      <c r="L203" s="476"/>
      <c r="O203" s="340"/>
      <c r="Q203" s="374">
        <f t="shared" si="22"/>
        <v>0.16600000000000012</v>
      </c>
      <c r="R203" s="206">
        <v>0.1875</v>
      </c>
    </row>
    <row r="204" spans="1:18">
      <c r="A204" s="497"/>
      <c r="B204" s="498"/>
      <c r="C204" s="498"/>
      <c r="D204" s="498"/>
      <c r="E204" s="498"/>
      <c r="F204" s="498"/>
      <c r="G204" s="498"/>
      <c r="H204" s="498"/>
      <c r="I204" s="476"/>
      <c r="J204" s="476"/>
      <c r="K204" s="476"/>
      <c r="L204" s="476"/>
      <c r="O204" s="340"/>
      <c r="Q204" s="374">
        <f t="shared" si="22"/>
        <v>0.16700000000000012</v>
      </c>
      <c r="R204" s="206">
        <v>0.1875</v>
      </c>
    </row>
    <row r="205" spans="1:18">
      <c r="A205" s="476"/>
      <c r="B205" s="476"/>
      <c r="C205" s="476"/>
      <c r="D205" s="476"/>
      <c r="E205" s="476"/>
      <c r="F205" s="476"/>
      <c r="G205" s="476"/>
      <c r="H205" s="476"/>
      <c r="I205" s="476"/>
      <c r="J205" s="476"/>
      <c r="K205" s="476"/>
      <c r="L205" s="476"/>
      <c r="O205" s="340"/>
      <c r="Q205" s="374">
        <f t="shared" si="22"/>
        <v>0.16800000000000012</v>
      </c>
      <c r="R205" s="206">
        <v>0.1875</v>
      </c>
    </row>
    <row r="206" spans="1:18" ht="12.75" customHeight="1">
      <c r="A206" s="499"/>
      <c r="B206" s="500"/>
      <c r="C206" s="482"/>
      <c r="D206" s="475"/>
      <c r="E206" s="476"/>
      <c r="F206" s="476"/>
      <c r="G206" s="476"/>
      <c r="H206" s="476"/>
      <c r="I206" s="476"/>
      <c r="J206" s="476"/>
      <c r="K206" s="476"/>
      <c r="L206" s="476"/>
      <c r="O206" s="340"/>
      <c r="Q206" s="374">
        <f t="shared" si="22"/>
        <v>0.16900000000000012</v>
      </c>
      <c r="R206" s="206">
        <v>0.1875</v>
      </c>
    </row>
    <row r="207" spans="1:18" ht="26.25" customHeight="1">
      <c r="A207" s="485"/>
      <c r="B207" s="476"/>
      <c r="C207" s="476"/>
      <c r="D207" s="476"/>
      <c r="E207" s="476"/>
      <c r="F207" s="476"/>
      <c r="G207" s="476"/>
      <c r="H207" s="476"/>
      <c r="I207" s="476"/>
      <c r="J207" s="476"/>
      <c r="K207" s="476"/>
      <c r="L207" s="476"/>
      <c r="O207" s="340"/>
      <c r="Q207" s="374">
        <f t="shared" si="22"/>
        <v>0.17000000000000012</v>
      </c>
      <c r="R207" s="206">
        <v>0.1875</v>
      </c>
    </row>
    <row r="208" spans="1:18">
      <c r="A208" s="485"/>
      <c r="B208" s="485"/>
      <c r="C208" s="475"/>
      <c r="D208" s="476"/>
      <c r="E208" s="476"/>
      <c r="F208" s="476"/>
      <c r="G208" s="476"/>
      <c r="H208" s="476"/>
      <c r="I208" s="476"/>
      <c r="J208" s="476"/>
      <c r="K208" s="476"/>
      <c r="L208" s="476"/>
      <c r="O208" s="340"/>
      <c r="Q208" s="374">
        <f t="shared" si="22"/>
        <v>0.17100000000000012</v>
      </c>
      <c r="R208" s="206">
        <v>0.1875</v>
      </c>
    </row>
    <row r="209" spans="1:18">
      <c r="A209" s="476"/>
      <c r="B209" s="476"/>
      <c r="C209" s="476"/>
      <c r="D209" s="476"/>
      <c r="E209" s="476"/>
      <c r="F209" s="476"/>
      <c r="G209" s="476"/>
      <c r="H209" s="476"/>
      <c r="I209" s="476"/>
      <c r="J209" s="476"/>
      <c r="K209" s="476"/>
      <c r="L209" s="476"/>
      <c r="O209" s="340"/>
      <c r="Q209" s="374">
        <f t="shared" si="22"/>
        <v>0.17200000000000013</v>
      </c>
      <c r="R209" s="206">
        <v>0.1875</v>
      </c>
    </row>
    <row r="210" spans="1:18">
      <c r="A210" s="476"/>
      <c r="B210" s="476"/>
      <c r="C210" s="485"/>
      <c r="D210" s="484"/>
      <c r="E210" s="476"/>
      <c r="F210" s="476"/>
      <c r="G210" s="476"/>
      <c r="H210" s="476"/>
      <c r="I210" s="476"/>
      <c r="J210" s="476"/>
      <c r="K210" s="476"/>
      <c r="L210" s="476"/>
      <c r="O210" s="340"/>
      <c r="Q210" s="374">
        <f t="shared" si="22"/>
        <v>0.17300000000000013</v>
      </c>
      <c r="R210" s="206">
        <v>0.1875</v>
      </c>
    </row>
    <row r="211" spans="1:18">
      <c r="A211" s="476"/>
      <c r="B211" s="476"/>
      <c r="C211" s="476"/>
      <c r="D211" s="476"/>
      <c r="E211" s="476"/>
      <c r="F211" s="476"/>
      <c r="G211" s="476"/>
      <c r="H211" s="476"/>
      <c r="I211" s="476"/>
      <c r="J211" s="476"/>
      <c r="K211" s="476"/>
      <c r="L211" s="476"/>
      <c r="O211" s="340"/>
      <c r="Q211" s="374">
        <f t="shared" si="22"/>
        <v>0.17400000000000013</v>
      </c>
      <c r="R211" s="206">
        <v>0.1875</v>
      </c>
    </row>
    <row r="212" spans="1:18">
      <c r="A212" s="485"/>
      <c r="B212" s="476"/>
      <c r="C212" s="475"/>
      <c r="D212" s="475"/>
      <c r="E212" s="475"/>
      <c r="F212" s="476"/>
      <c r="G212" s="476"/>
      <c r="H212" s="476"/>
      <c r="I212" s="476"/>
      <c r="J212" s="476"/>
      <c r="K212" s="476"/>
      <c r="L212" s="476"/>
      <c r="O212" s="340"/>
      <c r="Q212" s="374">
        <f t="shared" si="22"/>
        <v>0.17500000000000013</v>
      </c>
      <c r="R212" s="206">
        <v>0.1875</v>
      </c>
    </row>
    <row r="213" spans="1:18">
      <c r="A213" s="476"/>
      <c r="B213" s="476"/>
      <c r="C213" s="476"/>
      <c r="D213" s="476"/>
      <c r="E213" s="476"/>
      <c r="F213" s="476"/>
      <c r="G213" s="476"/>
      <c r="H213" s="476"/>
      <c r="I213" s="476"/>
      <c r="J213" s="476"/>
      <c r="K213" s="476"/>
      <c r="L213" s="476"/>
      <c r="O213" s="340"/>
      <c r="Q213" s="374">
        <f t="shared" si="22"/>
        <v>0.17600000000000013</v>
      </c>
      <c r="R213" s="206">
        <v>0.1875</v>
      </c>
    </row>
    <row r="214" spans="1:18">
      <c r="A214" s="476"/>
      <c r="B214" s="476"/>
      <c r="C214" s="485"/>
      <c r="D214" s="484"/>
      <c r="E214" s="476"/>
      <c r="F214" s="476"/>
      <c r="G214" s="476"/>
      <c r="H214" s="476"/>
      <c r="I214" s="476"/>
      <c r="J214" s="476"/>
      <c r="K214" s="476"/>
      <c r="L214" s="476"/>
      <c r="O214" s="340"/>
      <c r="Q214" s="374">
        <f t="shared" si="22"/>
        <v>0.17700000000000013</v>
      </c>
      <c r="R214" s="206">
        <v>0.1875</v>
      </c>
    </row>
    <row r="215" spans="1:18" ht="24.75" customHeight="1">
      <c r="A215" s="476"/>
      <c r="B215" s="476"/>
      <c r="C215" s="476"/>
      <c r="D215" s="476"/>
      <c r="E215" s="476"/>
      <c r="F215" s="476"/>
      <c r="G215" s="476"/>
      <c r="H215" s="476"/>
      <c r="I215" s="476"/>
      <c r="J215" s="476"/>
      <c r="K215" s="476"/>
      <c r="L215" s="476"/>
      <c r="O215" s="340"/>
      <c r="Q215" s="374">
        <f t="shared" si="22"/>
        <v>0.17800000000000013</v>
      </c>
      <c r="R215" s="206">
        <v>0.1875</v>
      </c>
    </row>
    <row r="216" spans="1:18" ht="12.75" customHeight="1">
      <c r="A216" s="476"/>
      <c r="B216" s="476"/>
      <c r="C216" s="476"/>
      <c r="D216" s="485"/>
      <c r="E216" s="484"/>
      <c r="F216" s="475"/>
      <c r="G216" s="476"/>
      <c r="H216" s="476"/>
      <c r="I216" s="476"/>
      <c r="J216" s="476"/>
      <c r="K216" s="476"/>
      <c r="L216" s="476"/>
      <c r="O216" s="340"/>
      <c r="Q216" s="374">
        <f t="shared" si="22"/>
        <v>0.17900000000000013</v>
      </c>
      <c r="R216" s="206">
        <v>0.1875</v>
      </c>
    </row>
    <row r="217" spans="1:18">
      <c r="A217" s="353"/>
      <c r="B217" s="353"/>
      <c r="C217" s="476"/>
      <c r="D217" s="476"/>
      <c r="E217" s="476"/>
      <c r="F217" s="476"/>
      <c r="G217" s="476"/>
      <c r="H217" s="476"/>
      <c r="I217" s="476"/>
      <c r="J217" s="476"/>
      <c r="K217" s="476"/>
      <c r="L217" s="476"/>
      <c r="O217" s="340"/>
      <c r="Q217" s="374">
        <f t="shared" si="22"/>
        <v>0.18000000000000013</v>
      </c>
      <c r="R217" s="206">
        <v>0.1875</v>
      </c>
    </row>
    <row r="218" spans="1:18" ht="12.75" customHeight="1">
      <c r="A218" s="353"/>
      <c r="B218" s="353"/>
      <c r="C218" s="476"/>
      <c r="D218" s="476"/>
      <c r="E218" s="476"/>
      <c r="F218" s="476"/>
      <c r="G218" s="476"/>
      <c r="H218" s="476"/>
      <c r="I218" s="476"/>
      <c r="J218" s="476"/>
      <c r="K218" s="476"/>
      <c r="L218" s="476"/>
      <c r="O218" s="340"/>
      <c r="Q218" s="374">
        <f t="shared" si="22"/>
        <v>0.18100000000000013</v>
      </c>
      <c r="R218" s="206">
        <v>0.1875</v>
      </c>
    </row>
    <row r="219" spans="1:18" ht="26.25" customHeight="1">
      <c r="A219" s="476"/>
      <c r="B219" s="476"/>
      <c r="C219" s="476"/>
      <c r="D219" s="485"/>
      <c r="E219" s="485"/>
      <c r="F219" s="473"/>
      <c r="G219" s="476"/>
      <c r="H219" s="476"/>
      <c r="I219" s="476"/>
      <c r="J219" s="476"/>
      <c r="K219" s="476"/>
      <c r="L219" s="476"/>
      <c r="O219" s="340"/>
      <c r="Q219" s="374">
        <f t="shared" si="22"/>
        <v>0.18200000000000013</v>
      </c>
      <c r="R219" s="206">
        <v>0.1875</v>
      </c>
    </row>
    <row r="220" spans="1:18">
      <c r="A220" s="476"/>
      <c r="B220" s="476"/>
      <c r="C220" s="476"/>
      <c r="D220" s="476"/>
      <c r="E220" s="476"/>
      <c r="F220" s="476"/>
      <c r="G220" s="476"/>
      <c r="H220" s="476"/>
      <c r="I220" s="476"/>
      <c r="J220" s="476"/>
      <c r="K220" s="476"/>
      <c r="L220" s="476"/>
      <c r="O220" s="340"/>
      <c r="Q220" s="374">
        <f t="shared" si="22"/>
        <v>0.18300000000000013</v>
      </c>
      <c r="R220" s="206">
        <v>0.1875</v>
      </c>
    </row>
    <row r="221" spans="1:18">
      <c r="A221" s="476"/>
      <c r="B221" s="476"/>
      <c r="C221" s="476"/>
      <c r="D221" s="476"/>
      <c r="E221" s="476"/>
      <c r="F221" s="476"/>
      <c r="G221" s="476"/>
      <c r="H221" s="476"/>
      <c r="I221" s="476"/>
      <c r="J221" s="476"/>
      <c r="K221" s="476"/>
      <c r="L221" s="476"/>
      <c r="O221" s="340"/>
      <c r="Q221" s="374">
        <f t="shared" si="22"/>
        <v>0.18400000000000014</v>
      </c>
      <c r="R221" s="206">
        <v>0.1875</v>
      </c>
    </row>
    <row r="222" spans="1:18">
      <c r="A222" s="485"/>
      <c r="B222" s="485"/>
      <c r="C222" s="490"/>
      <c r="D222" s="475"/>
      <c r="E222" s="476"/>
      <c r="F222" s="476"/>
      <c r="G222" s="476"/>
      <c r="H222" s="476"/>
      <c r="I222" s="476"/>
      <c r="J222" s="476"/>
      <c r="K222" s="476"/>
      <c r="L222" s="476"/>
      <c r="O222" s="340"/>
      <c r="Q222" s="374">
        <f t="shared" si="22"/>
        <v>0.18500000000000014</v>
      </c>
      <c r="R222" s="206">
        <v>0.1875</v>
      </c>
    </row>
    <row r="223" spans="1:18">
      <c r="A223" s="476"/>
      <c r="B223" s="476"/>
      <c r="C223" s="476"/>
      <c r="D223" s="476"/>
      <c r="E223" s="476"/>
      <c r="F223" s="476"/>
      <c r="G223" s="476"/>
      <c r="H223" s="476"/>
      <c r="I223" s="476"/>
      <c r="J223" s="476"/>
      <c r="K223" s="476"/>
      <c r="L223" s="476"/>
      <c r="O223" s="340"/>
      <c r="Q223" s="374">
        <f t="shared" si="22"/>
        <v>0.18600000000000014</v>
      </c>
      <c r="R223" s="206">
        <v>0.1875</v>
      </c>
    </row>
    <row r="224" spans="1:18">
      <c r="A224" s="480"/>
      <c r="B224" s="473"/>
      <c r="C224" s="473"/>
      <c r="D224" s="473"/>
      <c r="E224" s="473"/>
      <c r="F224" s="473"/>
      <c r="G224" s="473"/>
      <c r="H224" s="473"/>
      <c r="I224" s="476"/>
      <c r="J224" s="476"/>
      <c r="K224" s="476"/>
      <c r="L224" s="476"/>
      <c r="O224" s="340"/>
      <c r="Q224" s="374">
        <f t="shared" si="22"/>
        <v>0.18700000000000014</v>
      </c>
      <c r="R224" s="206">
        <f t="shared" ref="R224:R255" si="23">1/4</f>
        <v>0.25</v>
      </c>
    </row>
    <row r="225" spans="1:18">
      <c r="A225" s="849"/>
      <c r="B225" s="353"/>
      <c r="C225" s="353"/>
      <c r="D225" s="476"/>
      <c r="E225" s="476"/>
      <c r="F225" s="476"/>
      <c r="G225" s="476"/>
      <c r="H225" s="476"/>
      <c r="I225" s="476"/>
      <c r="J225" s="476"/>
      <c r="K225" s="476"/>
      <c r="L225" s="476"/>
      <c r="O225" s="340"/>
      <c r="Q225" s="374">
        <f t="shared" si="22"/>
        <v>0.18800000000000014</v>
      </c>
      <c r="R225" s="206">
        <f t="shared" si="23"/>
        <v>0.25</v>
      </c>
    </row>
    <row r="226" spans="1:18">
      <c r="A226" s="849"/>
      <c r="B226" s="487"/>
      <c r="C226" s="485"/>
      <c r="D226" s="476"/>
      <c r="E226" s="476"/>
      <c r="F226" s="476"/>
      <c r="G226" s="476"/>
      <c r="H226" s="476"/>
      <c r="I226" s="476"/>
      <c r="J226" s="476"/>
      <c r="K226" s="476"/>
      <c r="L226" s="476"/>
      <c r="O226" s="340"/>
      <c r="Q226" s="374">
        <f t="shared" si="22"/>
        <v>0.18900000000000014</v>
      </c>
      <c r="R226" s="206">
        <f t="shared" si="23"/>
        <v>0.25</v>
      </c>
    </row>
    <row r="227" spans="1:18">
      <c r="A227" s="473"/>
      <c r="B227" s="501"/>
      <c r="C227" s="501"/>
      <c r="D227" s="501"/>
      <c r="E227" s="501"/>
      <c r="F227" s="501"/>
      <c r="G227" s="501"/>
      <c r="H227" s="501"/>
      <c r="I227" s="476"/>
      <c r="J227" s="476"/>
      <c r="K227" s="476"/>
      <c r="L227" s="476"/>
      <c r="O227" s="340"/>
      <c r="Q227" s="374">
        <f t="shared" si="22"/>
        <v>0.19000000000000014</v>
      </c>
      <c r="R227" s="206">
        <f t="shared" si="23"/>
        <v>0.25</v>
      </c>
    </row>
    <row r="228" spans="1:18">
      <c r="A228" s="353"/>
      <c r="B228" s="473"/>
      <c r="C228" s="476"/>
      <c r="D228" s="476"/>
      <c r="E228" s="476"/>
      <c r="F228" s="476"/>
      <c r="G228" s="476"/>
      <c r="H228" s="476"/>
      <c r="I228" s="476"/>
      <c r="J228" s="476"/>
      <c r="K228" s="476"/>
      <c r="L228" s="476"/>
      <c r="O228" s="340"/>
      <c r="Q228" s="374">
        <f t="shared" si="22"/>
        <v>0.19100000000000014</v>
      </c>
      <c r="R228" s="206">
        <f t="shared" si="23"/>
        <v>0.25</v>
      </c>
    </row>
    <row r="229" spans="1:18">
      <c r="A229" s="475"/>
      <c r="B229" s="353"/>
      <c r="C229" s="353"/>
      <c r="D229" s="484"/>
      <c r="E229" s="475"/>
      <c r="F229" s="476"/>
      <c r="G229" s="476"/>
      <c r="H229" s="476"/>
      <c r="I229" s="476"/>
      <c r="J229" s="476"/>
      <c r="K229" s="476"/>
      <c r="L229" s="476"/>
      <c r="O229" s="340"/>
      <c r="Q229" s="374">
        <f t="shared" si="22"/>
        <v>0.19200000000000014</v>
      </c>
      <c r="R229" s="206">
        <f t="shared" si="23"/>
        <v>0.25</v>
      </c>
    </row>
    <row r="230" spans="1:18">
      <c r="A230" s="485"/>
      <c r="B230" s="476"/>
      <c r="C230" s="476"/>
      <c r="D230" s="476"/>
      <c r="E230" s="476"/>
      <c r="F230" s="476"/>
      <c r="G230" s="476"/>
      <c r="H230" s="476"/>
      <c r="I230" s="476"/>
      <c r="J230" s="476"/>
      <c r="K230" s="476"/>
      <c r="L230" s="476"/>
      <c r="O230" s="340"/>
      <c r="Q230" s="374">
        <f t="shared" si="22"/>
        <v>0.19300000000000014</v>
      </c>
      <c r="R230" s="206">
        <f t="shared" si="23"/>
        <v>0.25</v>
      </c>
    </row>
    <row r="231" spans="1:18">
      <c r="A231" s="485"/>
      <c r="B231" s="485"/>
      <c r="C231" s="475"/>
      <c r="D231" s="476"/>
      <c r="E231" s="476"/>
      <c r="F231" s="476"/>
      <c r="G231" s="476"/>
      <c r="H231" s="476"/>
      <c r="I231" s="476"/>
      <c r="J231" s="476"/>
      <c r="K231" s="476"/>
      <c r="L231" s="476"/>
      <c r="O231" s="340"/>
      <c r="Q231" s="374">
        <f t="shared" ref="Q231:Q294" si="24">Q230+0.001</f>
        <v>0.19400000000000014</v>
      </c>
      <c r="R231" s="206">
        <f t="shared" si="23"/>
        <v>0.25</v>
      </c>
    </row>
    <row r="232" spans="1:18" ht="12.75" customHeight="1">
      <c r="A232" s="502"/>
      <c r="B232" s="485"/>
      <c r="C232" s="475"/>
      <c r="D232" s="476"/>
      <c r="E232" s="476"/>
      <c r="F232" s="476"/>
      <c r="G232" s="476"/>
      <c r="H232" s="476"/>
      <c r="I232" s="476"/>
      <c r="J232" s="476"/>
      <c r="K232" s="476"/>
      <c r="L232" s="476"/>
      <c r="O232" s="340"/>
      <c r="Q232" s="374">
        <f t="shared" si="24"/>
        <v>0.19500000000000015</v>
      </c>
      <c r="R232" s="206">
        <f t="shared" si="23"/>
        <v>0.25</v>
      </c>
    </row>
    <row r="233" spans="1:18">
      <c r="A233" s="502"/>
      <c r="B233" s="493"/>
      <c r="C233" s="494"/>
      <c r="D233" s="494"/>
      <c r="E233" s="494"/>
      <c r="F233" s="494"/>
      <c r="G233" s="494"/>
      <c r="H233" s="494"/>
      <c r="I233" s="476"/>
      <c r="J233" s="476"/>
      <c r="K233" s="476"/>
      <c r="L233" s="476"/>
      <c r="O233" s="340"/>
      <c r="Q233" s="374">
        <f t="shared" si="24"/>
        <v>0.19600000000000015</v>
      </c>
      <c r="R233" s="206">
        <f t="shared" si="23"/>
        <v>0.25</v>
      </c>
    </row>
    <row r="234" spans="1:18">
      <c r="A234" s="502"/>
      <c r="B234" s="494"/>
      <c r="C234" s="494"/>
      <c r="D234" s="494"/>
      <c r="E234" s="494"/>
      <c r="F234" s="494"/>
      <c r="G234" s="494"/>
      <c r="H234" s="494"/>
      <c r="I234" s="476"/>
      <c r="J234" s="476"/>
      <c r="K234" s="476"/>
      <c r="L234" s="476"/>
      <c r="O234" s="340"/>
      <c r="Q234" s="374">
        <f t="shared" si="24"/>
        <v>0.19700000000000015</v>
      </c>
      <c r="R234" s="206">
        <f t="shared" si="23"/>
        <v>0.25</v>
      </c>
    </row>
    <row r="235" spans="1:18" ht="12.75" customHeight="1">
      <c r="A235" s="502"/>
      <c r="B235" s="493"/>
      <c r="C235" s="494"/>
      <c r="D235" s="494"/>
      <c r="E235" s="494"/>
      <c r="F235" s="494"/>
      <c r="G235" s="494"/>
      <c r="H235" s="494"/>
      <c r="I235" s="476"/>
      <c r="J235" s="476"/>
      <c r="K235" s="476"/>
      <c r="L235" s="476"/>
      <c r="O235" s="340"/>
      <c r="Q235" s="374">
        <f t="shared" si="24"/>
        <v>0.19800000000000015</v>
      </c>
      <c r="R235" s="206">
        <f t="shared" si="23"/>
        <v>0.25</v>
      </c>
    </row>
    <row r="236" spans="1:18">
      <c r="A236" s="476"/>
      <c r="B236" s="494"/>
      <c r="C236" s="494"/>
      <c r="D236" s="494"/>
      <c r="E236" s="494"/>
      <c r="F236" s="494"/>
      <c r="G236" s="494"/>
      <c r="H236" s="494"/>
      <c r="I236" s="476"/>
      <c r="J236" s="476"/>
      <c r="K236" s="476"/>
      <c r="L236" s="476"/>
      <c r="O236" s="340"/>
      <c r="Q236" s="374">
        <f t="shared" si="24"/>
        <v>0.19900000000000015</v>
      </c>
      <c r="R236" s="206">
        <f t="shared" si="23"/>
        <v>0.25</v>
      </c>
    </row>
    <row r="237" spans="1:18" ht="12.75" customHeight="1">
      <c r="A237" s="480"/>
      <c r="B237" s="476"/>
      <c r="C237" s="476"/>
      <c r="D237" s="476"/>
      <c r="E237" s="476"/>
      <c r="F237" s="476"/>
      <c r="G237" s="476"/>
      <c r="H237" s="476"/>
      <c r="I237" s="476"/>
      <c r="J237" s="476"/>
      <c r="K237" s="476"/>
      <c r="L237" s="476"/>
      <c r="O237" s="340"/>
      <c r="Q237" s="374">
        <f t="shared" si="24"/>
        <v>0.20000000000000015</v>
      </c>
      <c r="R237" s="206">
        <f t="shared" si="23"/>
        <v>0.25</v>
      </c>
    </row>
    <row r="238" spans="1:18" ht="12.75" customHeight="1">
      <c r="A238" s="503"/>
      <c r="B238" s="473"/>
      <c r="C238" s="473"/>
      <c r="D238" s="473"/>
      <c r="E238" s="473"/>
      <c r="F238" s="473"/>
      <c r="G238" s="473"/>
      <c r="H238" s="473"/>
      <c r="I238" s="476"/>
      <c r="J238" s="476"/>
      <c r="K238" s="476"/>
      <c r="L238" s="476"/>
      <c r="O238" s="340"/>
      <c r="Q238" s="374">
        <f t="shared" si="24"/>
        <v>0.20100000000000015</v>
      </c>
      <c r="R238" s="206">
        <f t="shared" si="23"/>
        <v>0.25</v>
      </c>
    </row>
    <row r="239" spans="1:18">
      <c r="A239" s="503"/>
      <c r="B239" s="353"/>
      <c r="C239" s="353"/>
      <c r="D239" s="476"/>
      <c r="E239" s="476"/>
      <c r="F239" s="476"/>
      <c r="G239" s="476"/>
      <c r="H239" s="476"/>
      <c r="I239" s="476"/>
      <c r="J239" s="476"/>
      <c r="K239" s="476"/>
      <c r="L239" s="476"/>
      <c r="O239" s="340"/>
      <c r="Q239" s="374">
        <f t="shared" si="24"/>
        <v>0.20200000000000015</v>
      </c>
      <c r="R239" s="206">
        <f t="shared" si="23"/>
        <v>0.25</v>
      </c>
    </row>
    <row r="240" spans="1:18">
      <c r="A240" s="476"/>
      <c r="B240" s="490"/>
      <c r="C240" s="475"/>
      <c r="D240" s="476"/>
      <c r="E240" s="476"/>
      <c r="F240" s="476"/>
      <c r="G240" s="476"/>
      <c r="H240" s="476"/>
      <c r="I240" s="476"/>
      <c r="J240" s="476"/>
      <c r="K240" s="476"/>
      <c r="L240" s="476"/>
      <c r="O240" s="340"/>
      <c r="Q240" s="374">
        <f t="shared" si="24"/>
        <v>0.20300000000000015</v>
      </c>
      <c r="R240" s="206">
        <f t="shared" si="23"/>
        <v>0.25</v>
      </c>
    </row>
    <row r="241" spans="1:18" ht="12.75" customHeight="1">
      <c r="A241" s="480"/>
      <c r="B241" s="476"/>
      <c r="C241" s="476"/>
      <c r="D241" s="476"/>
      <c r="E241" s="476"/>
      <c r="F241" s="476"/>
      <c r="G241" s="476"/>
      <c r="H241" s="476"/>
      <c r="I241" s="476"/>
      <c r="J241" s="476"/>
      <c r="K241" s="476"/>
      <c r="L241" s="476"/>
      <c r="O241" s="340"/>
      <c r="Q241" s="374">
        <f t="shared" si="24"/>
        <v>0.20400000000000015</v>
      </c>
      <c r="R241" s="206">
        <f t="shared" si="23"/>
        <v>0.25</v>
      </c>
    </row>
    <row r="242" spans="1:18">
      <c r="A242" s="502"/>
      <c r="B242" s="473"/>
      <c r="C242" s="473"/>
      <c r="D242" s="473"/>
      <c r="E242" s="473"/>
      <c r="F242" s="473"/>
      <c r="G242" s="473"/>
      <c r="H242" s="473"/>
      <c r="I242" s="476"/>
      <c r="J242" s="476"/>
      <c r="K242" s="476"/>
      <c r="L242" s="476"/>
      <c r="O242" s="340"/>
      <c r="Q242" s="374">
        <f t="shared" si="24"/>
        <v>0.20500000000000015</v>
      </c>
      <c r="R242" s="206">
        <f t="shared" si="23"/>
        <v>0.25</v>
      </c>
    </row>
    <row r="243" spans="1:18" ht="12.75" customHeight="1">
      <c r="A243" s="502"/>
      <c r="B243" s="473"/>
      <c r="C243" s="479"/>
      <c r="D243" s="479"/>
      <c r="E243" s="476"/>
      <c r="F243" s="476"/>
      <c r="G243" s="476"/>
      <c r="H243" s="476"/>
      <c r="I243" s="476"/>
      <c r="J243" s="476"/>
      <c r="K243" s="476"/>
      <c r="L243" s="476"/>
      <c r="O243" s="340"/>
      <c r="Q243" s="374">
        <f t="shared" si="24"/>
        <v>0.20600000000000016</v>
      </c>
      <c r="R243" s="206">
        <f t="shared" si="23"/>
        <v>0.25</v>
      </c>
    </row>
    <row r="244" spans="1:18">
      <c r="A244" s="476"/>
      <c r="B244" s="490"/>
      <c r="C244" s="475"/>
      <c r="D244" s="476"/>
      <c r="E244" s="476"/>
      <c r="F244" s="476"/>
      <c r="G244" s="476"/>
      <c r="H244" s="476"/>
      <c r="I244" s="476"/>
      <c r="J244" s="476"/>
      <c r="K244" s="476"/>
      <c r="L244" s="476"/>
      <c r="O244" s="340"/>
      <c r="Q244" s="374">
        <f t="shared" si="24"/>
        <v>0.20700000000000016</v>
      </c>
      <c r="R244" s="206">
        <f t="shared" si="23"/>
        <v>0.25</v>
      </c>
    </row>
    <row r="245" spans="1:18">
      <c r="A245" s="480"/>
      <c r="B245" s="476"/>
      <c r="C245" s="476"/>
      <c r="D245" s="476"/>
      <c r="E245" s="476"/>
      <c r="F245" s="476"/>
      <c r="G245" s="476"/>
      <c r="H245" s="476"/>
      <c r="I245" s="476"/>
      <c r="J245" s="476"/>
      <c r="K245" s="476"/>
      <c r="L245" s="476"/>
      <c r="O245" s="340"/>
      <c r="Q245" s="374">
        <f t="shared" si="24"/>
        <v>0.20800000000000016</v>
      </c>
      <c r="R245" s="206">
        <f t="shared" si="23"/>
        <v>0.25</v>
      </c>
    </row>
    <row r="246" spans="1:18">
      <c r="A246" s="503"/>
      <c r="B246" s="473"/>
      <c r="C246" s="473"/>
      <c r="D246" s="473"/>
      <c r="E246" s="473"/>
      <c r="F246" s="473"/>
      <c r="G246" s="473"/>
      <c r="H246" s="473"/>
      <c r="I246" s="476"/>
      <c r="J246" s="476"/>
      <c r="K246" s="476"/>
      <c r="L246" s="476"/>
      <c r="O246" s="340"/>
      <c r="Q246" s="374">
        <f t="shared" si="24"/>
        <v>0.20900000000000016</v>
      </c>
      <c r="R246" s="206">
        <f t="shared" si="23"/>
        <v>0.25</v>
      </c>
    </row>
    <row r="247" spans="1:18" ht="12.75" customHeight="1">
      <c r="A247" s="503"/>
      <c r="B247" s="502"/>
      <c r="C247" s="502"/>
      <c r="D247" s="476"/>
      <c r="E247" s="476"/>
      <c r="F247" s="476"/>
      <c r="G247" s="476"/>
      <c r="H247" s="476"/>
      <c r="I247" s="476"/>
      <c r="J247" s="476"/>
      <c r="K247" s="476"/>
      <c r="L247" s="476"/>
      <c r="O247" s="340"/>
      <c r="Q247" s="374">
        <f t="shared" si="24"/>
        <v>0.21000000000000016</v>
      </c>
      <c r="R247" s="206">
        <f t="shared" si="23"/>
        <v>0.25</v>
      </c>
    </row>
    <row r="248" spans="1:18">
      <c r="A248" s="476"/>
      <c r="B248" s="490"/>
      <c r="C248" s="475"/>
      <c r="D248" s="476"/>
      <c r="E248" s="476"/>
      <c r="F248" s="476"/>
      <c r="G248" s="476"/>
      <c r="H248" s="476"/>
      <c r="I248" s="476"/>
      <c r="J248" s="476"/>
      <c r="K248" s="476"/>
      <c r="L248" s="476"/>
      <c r="O248" s="340"/>
      <c r="Q248" s="374">
        <f t="shared" si="24"/>
        <v>0.21100000000000016</v>
      </c>
      <c r="R248" s="206">
        <f t="shared" si="23"/>
        <v>0.25</v>
      </c>
    </row>
    <row r="249" spans="1:18" ht="12.75" customHeight="1">
      <c r="A249" s="480"/>
      <c r="B249" s="476"/>
      <c r="C249" s="476"/>
      <c r="D249" s="476"/>
      <c r="E249" s="476"/>
      <c r="F249" s="476"/>
      <c r="G249" s="476"/>
      <c r="H249" s="476"/>
      <c r="I249" s="476"/>
      <c r="J249" s="476"/>
      <c r="K249" s="476"/>
      <c r="L249" s="476"/>
      <c r="O249" s="340"/>
      <c r="Q249" s="374">
        <f t="shared" si="24"/>
        <v>0.21200000000000016</v>
      </c>
      <c r="R249" s="206">
        <f t="shared" si="23"/>
        <v>0.25</v>
      </c>
    </row>
    <row r="250" spans="1:18">
      <c r="A250" s="485"/>
      <c r="B250" s="473"/>
      <c r="C250" s="473"/>
      <c r="D250" s="473"/>
      <c r="E250" s="473"/>
      <c r="F250" s="473"/>
      <c r="G250" s="473"/>
      <c r="H250" s="473"/>
      <c r="I250" s="476"/>
      <c r="J250" s="476"/>
      <c r="K250" s="476"/>
      <c r="L250" s="476"/>
      <c r="O250" s="340"/>
      <c r="Q250" s="374">
        <f t="shared" si="24"/>
        <v>0.21300000000000016</v>
      </c>
      <c r="R250" s="206">
        <f t="shared" si="23"/>
        <v>0.25</v>
      </c>
    </row>
    <row r="251" spans="1:18">
      <c r="A251" s="475"/>
      <c r="B251" s="353"/>
      <c r="C251" s="353"/>
      <c r="D251" s="353"/>
      <c r="E251" s="353"/>
      <c r="F251" s="476"/>
      <c r="G251" s="476"/>
      <c r="H251" s="476"/>
      <c r="I251" s="476"/>
      <c r="J251" s="476"/>
      <c r="K251" s="476"/>
      <c r="L251" s="476"/>
      <c r="O251" s="340"/>
      <c r="Q251" s="374">
        <f t="shared" si="24"/>
        <v>0.21400000000000016</v>
      </c>
      <c r="R251" s="206">
        <f t="shared" si="23"/>
        <v>0.25</v>
      </c>
    </row>
    <row r="252" spans="1:18" ht="12.75" customHeight="1">
      <c r="A252" s="485"/>
      <c r="B252" s="476"/>
      <c r="C252" s="476"/>
      <c r="D252" s="476"/>
      <c r="E252" s="476"/>
      <c r="F252" s="476"/>
      <c r="G252" s="476"/>
      <c r="H252" s="476"/>
      <c r="I252" s="476"/>
      <c r="J252" s="476"/>
      <c r="K252" s="476"/>
      <c r="L252" s="476"/>
      <c r="O252" s="340"/>
      <c r="Q252" s="374">
        <f t="shared" si="24"/>
        <v>0.21500000000000016</v>
      </c>
      <c r="R252" s="206">
        <f t="shared" si="23"/>
        <v>0.25</v>
      </c>
    </row>
    <row r="253" spans="1:18">
      <c r="A253" s="485"/>
      <c r="B253" s="353"/>
      <c r="C253" s="353"/>
      <c r="D253" s="479"/>
      <c r="E253" s="479"/>
      <c r="F253" s="479"/>
      <c r="G253" s="479"/>
      <c r="H253" s="479"/>
      <c r="I253" s="476"/>
      <c r="J253" s="476"/>
      <c r="K253" s="476"/>
      <c r="L253" s="476"/>
      <c r="O253" s="340"/>
      <c r="Q253" s="374">
        <f t="shared" si="24"/>
        <v>0.21600000000000016</v>
      </c>
      <c r="R253" s="206">
        <f t="shared" si="23"/>
        <v>0.25</v>
      </c>
    </row>
    <row r="254" spans="1:18">
      <c r="A254" s="476"/>
      <c r="B254" s="490"/>
      <c r="C254" s="475"/>
      <c r="D254" s="476"/>
      <c r="E254" s="476"/>
      <c r="F254" s="476"/>
      <c r="G254" s="476"/>
      <c r="H254" s="476"/>
      <c r="I254" s="476"/>
      <c r="J254" s="476"/>
      <c r="K254" s="476"/>
      <c r="L254" s="476"/>
      <c r="O254" s="340"/>
      <c r="Q254" s="374">
        <f t="shared" si="24"/>
        <v>0.21700000000000016</v>
      </c>
      <c r="R254" s="206">
        <f t="shared" si="23"/>
        <v>0.25</v>
      </c>
    </row>
    <row r="255" spans="1:18">
      <c r="A255" s="480"/>
      <c r="B255" s="476"/>
      <c r="C255" s="476"/>
      <c r="D255" s="476"/>
      <c r="E255" s="476"/>
      <c r="F255" s="476"/>
      <c r="G255" s="476"/>
      <c r="H255" s="476"/>
      <c r="I255" s="476"/>
      <c r="J255" s="476"/>
      <c r="K255" s="476"/>
      <c r="L255" s="476"/>
      <c r="O255" s="340"/>
      <c r="Q255" s="374">
        <f t="shared" si="24"/>
        <v>0.21800000000000017</v>
      </c>
      <c r="R255" s="206">
        <f t="shared" si="23"/>
        <v>0.25</v>
      </c>
    </row>
    <row r="256" spans="1:18">
      <c r="A256" s="485"/>
      <c r="B256" s="473"/>
      <c r="C256" s="473"/>
      <c r="D256" s="473"/>
      <c r="E256" s="473"/>
      <c r="F256" s="473"/>
      <c r="G256" s="473"/>
      <c r="H256" s="473"/>
      <c r="I256" s="476"/>
      <c r="J256" s="476"/>
      <c r="K256" s="476"/>
      <c r="L256" s="476"/>
      <c r="O256" s="340"/>
      <c r="Q256" s="374">
        <f t="shared" si="24"/>
        <v>0.21900000000000017</v>
      </c>
      <c r="R256" s="206">
        <f t="shared" ref="R256:R287" si="25">1/4</f>
        <v>0.25</v>
      </c>
    </row>
    <row r="257" spans="1:18">
      <c r="A257" s="485"/>
      <c r="B257" s="485"/>
      <c r="C257" s="476"/>
      <c r="D257" s="476"/>
      <c r="E257" s="476"/>
      <c r="F257" s="476"/>
      <c r="G257" s="476"/>
      <c r="H257" s="476"/>
      <c r="I257" s="476"/>
      <c r="J257" s="476"/>
      <c r="K257" s="476"/>
      <c r="L257" s="476"/>
      <c r="O257" s="340"/>
      <c r="Q257" s="374">
        <f t="shared" si="24"/>
        <v>0.22000000000000017</v>
      </c>
      <c r="R257" s="206">
        <f t="shared" si="25"/>
        <v>0.25</v>
      </c>
    </row>
    <row r="258" spans="1:18" ht="14.25" customHeight="1">
      <c r="A258" s="473"/>
      <c r="B258" s="490"/>
      <c r="C258" s="476"/>
      <c r="D258" s="476"/>
      <c r="E258" s="476"/>
      <c r="F258" s="476"/>
      <c r="G258" s="476"/>
      <c r="H258" s="476"/>
      <c r="I258" s="476"/>
      <c r="J258" s="476"/>
      <c r="K258" s="476"/>
      <c r="L258" s="476"/>
      <c r="O258" s="340"/>
      <c r="Q258" s="374">
        <f t="shared" si="24"/>
        <v>0.22100000000000017</v>
      </c>
      <c r="R258" s="206">
        <f t="shared" si="25"/>
        <v>0.25</v>
      </c>
    </row>
    <row r="259" spans="1:18">
      <c r="A259" s="476"/>
      <c r="B259" s="473"/>
      <c r="C259" s="485"/>
      <c r="D259" s="484"/>
      <c r="E259" s="850"/>
      <c r="F259" s="850"/>
      <c r="G259" s="476"/>
      <c r="H259" s="476"/>
      <c r="I259" s="476"/>
      <c r="J259" s="476"/>
      <c r="K259" s="476"/>
      <c r="L259" s="476"/>
      <c r="O259" s="340"/>
      <c r="Q259" s="374">
        <f t="shared" si="24"/>
        <v>0.22200000000000017</v>
      </c>
      <c r="R259" s="206">
        <f t="shared" si="25"/>
        <v>0.25</v>
      </c>
    </row>
    <row r="260" spans="1:18" ht="14.25" customHeight="1">
      <c r="A260" s="476"/>
      <c r="B260" s="476"/>
      <c r="C260" s="476"/>
      <c r="D260" s="485"/>
      <c r="E260" s="489"/>
      <c r="F260" s="475"/>
      <c r="G260" s="485"/>
      <c r="H260" s="475"/>
      <c r="I260" s="476"/>
      <c r="J260" s="476"/>
      <c r="K260" s="476"/>
      <c r="L260" s="476"/>
      <c r="O260" s="340"/>
      <c r="Q260" s="374">
        <f t="shared" si="24"/>
        <v>0.22300000000000017</v>
      </c>
      <c r="R260" s="206">
        <f t="shared" si="25"/>
        <v>0.25</v>
      </c>
    </row>
    <row r="261" spans="1:18">
      <c r="A261" s="476"/>
      <c r="B261" s="476"/>
      <c r="C261" s="476"/>
      <c r="D261" s="485"/>
      <c r="E261" s="487"/>
      <c r="F261" s="475"/>
      <c r="G261" s="476"/>
      <c r="H261" s="476"/>
      <c r="I261" s="476"/>
      <c r="J261" s="476"/>
      <c r="K261" s="476"/>
      <c r="L261" s="476"/>
      <c r="O261" s="340"/>
      <c r="Q261" s="374">
        <f t="shared" si="24"/>
        <v>0.22400000000000017</v>
      </c>
      <c r="R261" s="206">
        <f t="shared" si="25"/>
        <v>0.25</v>
      </c>
    </row>
    <row r="262" spans="1:18">
      <c r="A262" s="476"/>
      <c r="B262" s="476"/>
      <c r="C262" s="476"/>
      <c r="D262" s="476"/>
      <c r="E262" s="476"/>
      <c r="F262" s="476"/>
      <c r="G262" s="476"/>
      <c r="H262" s="476"/>
      <c r="I262" s="476"/>
      <c r="J262" s="476"/>
      <c r="K262" s="476"/>
      <c r="L262" s="476"/>
      <c r="O262" s="340"/>
      <c r="Q262" s="374">
        <f t="shared" si="24"/>
        <v>0.22500000000000017</v>
      </c>
      <c r="R262" s="206">
        <f t="shared" si="25"/>
        <v>0.25</v>
      </c>
    </row>
    <row r="263" spans="1:18" ht="12.75" customHeight="1">
      <c r="A263" s="476"/>
      <c r="B263" s="476"/>
      <c r="C263" s="476"/>
      <c r="D263" s="485"/>
      <c r="E263" s="485"/>
      <c r="F263" s="475"/>
      <c r="G263" s="476"/>
      <c r="H263" s="476"/>
      <c r="I263" s="476"/>
      <c r="J263" s="476"/>
      <c r="K263" s="476"/>
      <c r="L263" s="476"/>
      <c r="O263" s="340"/>
      <c r="Q263" s="374">
        <f t="shared" si="24"/>
        <v>0.22600000000000017</v>
      </c>
      <c r="R263" s="206">
        <f t="shared" si="25"/>
        <v>0.25</v>
      </c>
    </row>
    <row r="264" spans="1:18">
      <c r="A264" s="492"/>
      <c r="B264" s="476"/>
      <c r="C264" s="476"/>
      <c r="D264" s="485"/>
      <c r="E264" s="487"/>
      <c r="F264" s="475"/>
      <c r="G264" s="476"/>
      <c r="H264" s="476"/>
      <c r="I264" s="476"/>
      <c r="J264" s="476"/>
      <c r="K264" s="476"/>
      <c r="L264" s="476"/>
      <c r="O264" s="340"/>
      <c r="Q264" s="374">
        <f t="shared" si="24"/>
        <v>0.22700000000000017</v>
      </c>
      <c r="R264" s="206">
        <f t="shared" si="25"/>
        <v>0.25</v>
      </c>
    </row>
    <row r="265" spans="1:18">
      <c r="A265" s="504"/>
      <c r="B265" s="492"/>
      <c r="C265" s="492"/>
      <c r="D265" s="476"/>
      <c r="E265" s="476"/>
      <c r="F265" s="476"/>
      <c r="G265" s="476"/>
      <c r="H265" s="476"/>
      <c r="I265" s="476"/>
      <c r="J265" s="476"/>
      <c r="K265" s="476"/>
      <c r="L265" s="476"/>
      <c r="O265" s="340"/>
      <c r="Q265" s="374">
        <f t="shared" si="24"/>
        <v>0.22800000000000017</v>
      </c>
      <c r="R265" s="206">
        <f t="shared" si="25"/>
        <v>0.25</v>
      </c>
    </row>
    <row r="266" spans="1:18">
      <c r="A266" s="473"/>
      <c r="B266" s="504"/>
      <c r="C266" s="504"/>
      <c r="D266" s="476"/>
      <c r="E266" s="476"/>
      <c r="F266" s="476"/>
      <c r="G266" s="476"/>
      <c r="H266" s="476"/>
      <c r="I266" s="476"/>
      <c r="J266" s="476"/>
      <c r="K266" s="476"/>
      <c r="L266" s="476"/>
      <c r="O266" s="340"/>
      <c r="Q266" s="374">
        <f t="shared" si="24"/>
        <v>0.22900000000000018</v>
      </c>
      <c r="R266" s="206">
        <f t="shared" si="25"/>
        <v>0.25</v>
      </c>
    </row>
    <row r="267" spans="1:18">
      <c r="A267" s="473"/>
      <c r="B267" s="482"/>
      <c r="C267" s="475"/>
      <c r="D267" s="476"/>
      <c r="E267" s="476"/>
      <c r="F267" s="476"/>
      <c r="G267" s="476"/>
      <c r="H267" s="476"/>
      <c r="I267" s="476"/>
      <c r="J267" s="476"/>
      <c r="K267" s="476"/>
      <c r="L267" s="476"/>
      <c r="O267" s="340"/>
      <c r="Q267" s="374">
        <f t="shared" si="24"/>
        <v>0.23000000000000018</v>
      </c>
      <c r="R267" s="206">
        <f t="shared" si="25"/>
        <v>0.25</v>
      </c>
    </row>
    <row r="268" spans="1:18">
      <c r="A268" s="473"/>
      <c r="B268" s="505"/>
      <c r="C268" s="475"/>
      <c r="D268" s="476"/>
      <c r="E268" s="476"/>
      <c r="F268" s="476"/>
      <c r="G268" s="476"/>
      <c r="H268" s="476"/>
      <c r="I268" s="476"/>
      <c r="J268" s="476"/>
      <c r="K268" s="476"/>
      <c r="L268" s="476"/>
      <c r="O268" s="340"/>
      <c r="Q268" s="374">
        <f t="shared" si="24"/>
        <v>0.23100000000000018</v>
      </c>
      <c r="R268" s="206">
        <f t="shared" si="25"/>
        <v>0.25</v>
      </c>
    </row>
    <row r="269" spans="1:18">
      <c r="A269" s="476"/>
      <c r="B269" s="487"/>
      <c r="C269" s="475"/>
      <c r="D269" s="476"/>
      <c r="E269" s="476"/>
      <c r="F269" s="476"/>
      <c r="G269" s="476"/>
      <c r="H269" s="476"/>
      <c r="I269" s="476"/>
      <c r="J269" s="476"/>
      <c r="K269" s="476"/>
      <c r="L269" s="476"/>
      <c r="O269" s="340"/>
      <c r="Q269" s="374">
        <f t="shared" si="24"/>
        <v>0.23200000000000018</v>
      </c>
      <c r="R269" s="206">
        <f t="shared" si="25"/>
        <v>0.25</v>
      </c>
    </row>
    <row r="270" spans="1:18">
      <c r="A270" s="492"/>
      <c r="B270" s="476"/>
      <c r="C270" s="476"/>
      <c r="D270" s="476"/>
      <c r="E270" s="476"/>
      <c r="F270" s="476"/>
      <c r="G270" s="476"/>
      <c r="H270" s="476"/>
      <c r="I270" s="476"/>
      <c r="J270" s="476"/>
      <c r="K270" s="476"/>
      <c r="L270" s="476"/>
      <c r="O270" s="340"/>
      <c r="Q270" s="374">
        <f t="shared" si="24"/>
        <v>0.23300000000000018</v>
      </c>
      <c r="R270" s="206">
        <f t="shared" si="25"/>
        <v>0.25</v>
      </c>
    </row>
    <row r="271" spans="1:18">
      <c r="A271" s="473"/>
      <c r="B271" s="492"/>
      <c r="C271" s="492"/>
      <c r="D271" s="476"/>
      <c r="E271" s="476"/>
      <c r="F271" s="476"/>
      <c r="G271" s="476"/>
      <c r="H271" s="476"/>
      <c r="I271" s="476"/>
      <c r="J271" s="476"/>
      <c r="K271" s="476"/>
      <c r="L271" s="476"/>
      <c r="O271" s="340"/>
      <c r="Q271" s="374">
        <f t="shared" si="24"/>
        <v>0.23400000000000018</v>
      </c>
      <c r="R271" s="206">
        <f t="shared" si="25"/>
        <v>0.25</v>
      </c>
    </row>
    <row r="272" spans="1:18">
      <c r="A272" s="473"/>
      <c r="B272" s="482"/>
      <c r="C272" s="475"/>
      <c r="D272" s="476"/>
      <c r="E272" s="476"/>
      <c r="F272" s="476"/>
      <c r="G272" s="476"/>
      <c r="H272" s="476"/>
      <c r="I272" s="476"/>
      <c r="J272" s="476"/>
      <c r="K272" s="476"/>
      <c r="L272" s="476"/>
      <c r="O272" s="340"/>
      <c r="Q272" s="374">
        <f t="shared" si="24"/>
        <v>0.23500000000000018</v>
      </c>
      <c r="R272" s="206">
        <f t="shared" si="25"/>
        <v>0.25</v>
      </c>
    </row>
    <row r="273" spans="1:18">
      <c r="A273" s="476"/>
      <c r="B273" s="505"/>
      <c r="C273" s="475"/>
      <c r="D273" s="476"/>
      <c r="E273" s="476"/>
      <c r="F273" s="476"/>
      <c r="G273" s="476"/>
      <c r="H273" s="476"/>
      <c r="I273" s="476"/>
      <c r="J273" s="476"/>
      <c r="K273" s="476"/>
      <c r="L273" s="476"/>
      <c r="O273" s="340"/>
      <c r="Q273" s="374">
        <f t="shared" si="24"/>
        <v>0.23600000000000018</v>
      </c>
      <c r="R273" s="206">
        <f t="shared" si="25"/>
        <v>0.25</v>
      </c>
    </row>
    <row r="274" spans="1:18">
      <c r="A274" s="353"/>
      <c r="B274" s="476"/>
      <c r="C274" s="476"/>
      <c r="D274" s="476"/>
      <c r="E274" s="476"/>
      <c r="F274" s="476"/>
      <c r="G274" s="476"/>
      <c r="H274" s="476"/>
      <c r="I274" s="476"/>
      <c r="J274" s="476"/>
      <c r="K274" s="476"/>
      <c r="L274" s="476"/>
      <c r="O274" s="340"/>
      <c r="Q274" s="374">
        <f t="shared" si="24"/>
        <v>0.23700000000000018</v>
      </c>
      <c r="R274" s="206">
        <f t="shared" si="25"/>
        <v>0.25</v>
      </c>
    </row>
    <row r="275" spans="1:18">
      <c r="A275" s="476"/>
      <c r="B275" s="353"/>
      <c r="C275" s="482"/>
      <c r="D275" s="475"/>
      <c r="E275" s="487"/>
      <c r="F275" s="475"/>
      <c r="G275" s="476"/>
      <c r="H275" s="476"/>
      <c r="I275" s="476"/>
      <c r="J275" s="476"/>
      <c r="K275" s="476"/>
      <c r="L275" s="476"/>
      <c r="O275" s="340"/>
      <c r="Q275" s="374">
        <f t="shared" si="24"/>
        <v>0.23800000000000018</v>
      </c>
      <c r="R275" s="206">
        <f t="shared" si="25"/>
        <v>0.25</v>
      </c>
    </row>
    <row r="276" spans="1:18">
      <c r="A276" s="480"/>
      <c r="B276" s="476"/>
      <c r="C276" s="476"/>
      <c r="D276" s="476"/>
      <c r="E276" s="476"/>
      <c r="F276" s="476"/>
      <c r="G276" s="476"/>
      <c r="H276" s="476"/>
      <c r="I276" s="476"/>
      <c r="J276" s="476"/>
      <c r="K276" s="476"/>
      <c r="L276" s="476"/>
      <c r="O276" s="340"/>
      <c r="Q276" s="374">
        <f t="shared" si="24"/>
        <v>0.23900000000000018</v>
      </c>
      <c r="R276" s="206">
        <f t="shared" si="25"/>
        <v>0.25</v>
      </c>
    </row>
    <row r="277" spans="1:18">
      <c r="A277" s="476"/>
      <c r="B277" s="473"/>
      <c r="C277" s="473"/>
      <c r="D277" s="473"/>
      <c r="E277" s="473"/>
      <c r="F277" s="473"/>
      <c r="G277" s="473"/>
      <c r="H277" s="473"/>
      <c r="I277" s="476"/>
      <c r="J277" s="476"/>
      <c r="K277" s="476"/>
      <c r="L277" s="476"/>
      <c r="O277" s="340"/>
      <c r="Q277" s="374">
        <f t="shared" si="24"/>
        <v>0.24000000000000019</v>
      </c>
      <c r="R277" s="206">
        <f t="shared" si="25"/>
        <v>0.25</v>
      </c>
    </row>
    <row r="278" spans="1:18">
      <c r="A278" s="485"/>
      <c r="B278" s="476"/>
      <c r="C278" s="476"/>
      <c r="D278" s="476"/>
      <c r="E278" s="476"/>
      <c r="F278" s="476"/>
      <c r="G278" s="476"/>
      <c r="H278" s="476"/>
      <c r="I278" s="476"/>
      <c r="J278" s="476"/>
      <c r="K278" s="476"/>
      <c r="L278" s="476"/>
      <c r="O278" s="340"/>
      <c r="Q278" s="374">
        <f t="shared" si="24"/>
        <v>0.24100000000000019</v>
      </c>
      <c r="R278" s="206">
        <f t="shared" si="25"/>
        <v>0.25</v>
      </c>
    </row>
    <row r="279" spans="1:18">
      <c r="A279" s="475"/>
      <c r="B279" s="353"/>
      <c r="C279" s="353"/>
      <c r="D279" s="353"/>
      <c r="E279" s="476"/>
      <c r="F279" s="476"/>
      <c r="G279" s="476"/>
      <c r="H279" s="476"/>
      <c r="I279" s="476"/>
      <c r="J279" s="476"/>
      <c r="K279" s="476"/>
      <c r="L279" s="476"/>
      <c r="O279" s="340"/>
      <c r="Q279" s="374">
        <f t="shared" si="24"/>
        <v>0.24200000000000019</v>
      </c>
      <c r="R279" s="206">
        <f t="shared" si="25"/>
        <v>0.25</v>
      </c>
    </row>
    <row r="280" spans="1:18" ht="12.75" customHeight="1">
      <c r="A280" s="485"/>
      <c r="B280" s="476"/>
      <c r="C280" s="476"/>
      <c r="D280" s="476"/>
      <c r="E280" s="476"/>
      <c r="F280" s="476"/>
      <c r="G280" s="476"/>
      <c r="H280" s="476"/>
      <c r="I280" s="476"/>
      <c r="J280" s="476"/>
      <c r="K280" s="476"/>
      <c r="L280" s="476"/>
      <c r="O280" s="340"/>
      <c r="Q280" s="374">
        <f t="shared" si="24"/>
        <v>0.24300000000000019</v>
      </c>
      <c r="R280" s="206">
        <f t="shared" si="25"/>
        <v>0.25</v>
      </c>
    </row>
    <row r="281" spans="1:18">
      <c r="A281" s="485"/>
      <c r="B281" s="483"/>
      <c r="C281" s="475"/>
      <c r="D281" s="476"/>
      <c r="E281" s="476"/>
      <c r="F281" s="476"/>
      <c r="G281" s="476"/>
      <c r="H281" s="476"/>
      <c r="I281" s="476"/>
      <c r="J281" s="476"/>
      <c r="K281" s="476"/>
      <c r="L281" s="476"/>
      <c r="O281" s="340"/>
      <c r="Q281" s="374">
        <f t="shared" si="24"/>
        <v>0.24400000000000019</v>
      </c>
      <c r="R281" s="206">
        <f t="shared" si="25"/>
        <v>0.25</v>
      </c>
    </row>
    <row r="282" spans="1:18">
      <c r="A282" s="485"/>
      <c r="B282" s="488"/>
      <c r="C282" s="851"/>
      <c r="D282" s="851"/>
      <c r="E282" s="476"/>
      <c r="F282" s="476"/>
      <c r="G282" s="476"/>
      <c r="H282" s="476"/>
      <c r="I282" s="476"/>
      <c r="J282" s="476"/>
      <c r="K282" s="476"/>
      <c r="L282" s="476"/>
      <c r="O282" s="340"/>
      <c r="Q282" s="374">
        <f t="shared" si="24"/>
        <v>0.24500000000000019</v>
      </c>
      <c r="R282" s="206">
        <f t="shared" si="25"/>
        <v>0.25</v>
      </c>
    </row>
    <row r="283" spans="1:18">
      <c r="A283" s="485"/>
      <c r="B283" s="484"/>
      <c r="C283" s="476"/>
      <c r="D283" s="476"/>
      <c r="E283" s="476"/>
      <c r="F283" s="476"/>
      <c r="G283" s="476"/>
      <c r="H283" s="476"/>
      <c r="I283" s="476"/>
      <c r="J283" s="476"/>
      <c r="K283" s="476"/>
      <c r="L283" s="476"/>
      <c r="O283" s="340"/>
      <c r="Q283" s="374">
        <f t="shared" si="24"/>
        <v>0.24600000000000019</v>
      </c>
      <c r="R283" s="206">
        <f t="shared" si="25"/>
        <v>0.25</v>
      </c>
    </row>
    <row r="284" spans="1:18" ht="12.75" customHeight="1">
      <c r="A284" s="476"/>
      <c r="B284" s="487"/>
      <c r="C284" s="475"/>
      <c r="D284" s="476"/>
      <c r="E284" s="476"/>
      <c r="F284" s="476"/>
      <c r="G284" s="476"/>
      <c r="H284" s="476"/>
      <c r="I284" s="476"/>
      <c r="J284" s="476"/>
      <c r="K284" s="476"/>
      <c r="L284" s="476"/>
      <c r="O284" s="340"/>
      <c r="Q284" s="374">
        <f t="shared" si="24"/>
        <v>0.24700000000000019</v>
      </c>
      <c r="R284" s="206">
        <f t="shared" si="25"/>
        <v>0.25</v>
      </c>
    </row>
    <row r="285" spans="1:18" ht="12.75" customHeight="1">
      <c r="A285" s="487"/>
      <c r="B285" s="476"/>
      <c r="C285" s="476"/>
      <c r="D285" s="476"/>
      <c r="E285" s="476"/>
      <c r="F285" s="476"/>
      <c r="G285" s="476"/>
      <c r="H285" s="476"/>
      <c r="I285" s="476"/>
      <c r="J285" s="476"/>
      <c r="K285" s="476"/>
      <c r="L285" s="476"/>
      <c r="O285" s="340"/>
      <c r="Q285" s="374">
        <f t="shared" si="24"/>
        <v>0.24800000000000019</v>
      </c>
      <c r="R285" s="206">
        <f t="shared" si="25"/>
        <v>0.25</v>
      </c>
    </row>
    <row r="286" spans="1:18">
      <c r="A286" s="476"/>
      <c r="B286" s="485"/>
      <c r="C286" s="487"/>
      <c r="D286" s="476"/>
      <c r="E286" s="476"/>
      <c r="F286" s="476"/>
      <c r="G286" s="476"/>
      <c r="H286" s="476"/>
      <c r="I286" s="476"/>
      <c r="J286" s="476"/>
      <c r="K286" s="476"/>
      <c r="L286" s="476"/>
      <c r="O286" s="340"/>
      <c r="Q286" s="374">
        <f t="shared" si="24"/>
        <v>0.24900000000000019</v>
      </c>
      <c r="R286" s="206">
        <f t="shared" si="25"/>
        <v>0.25</v>
      </c>
    </row>
    <row r="287" spans="1:18" ht="14.25" customHeight="1">
      <c r="A287" s="497"/>
      <c r="C287" s="476"/>
      <c r="D287" s="476"/>
      <c r="E287" s="476"/>
      <c r="F287" s="476"/>
      <c r="G287" s="506"/>
      <c r="H287" s="476"/>
      <c r="I287" s="476"/>
      <c r="J287" s="476"/>
      <c r="K287" s="476"/>
      <c r="L287" s="476"/>
      <c r="O287" s="340"/>
      <c r="Q287" s="374">
        <f t="shared" si="24"/>
        <v>0.25000000000000017</v>
      </c>
      <c r="R287" s="206">
        <f t="shared" si="25"/>
        <v>0.25</v>
      </c>
    </row>
    <row r="288" spans="1:18" ht="14.25" customHeight="1">
      <c r="A288" s="480"/>
      <c r="B288" s="498"/>
      <c r="C288" s="498"/>
      <c r="D288" s="498"/>
      <c r="E288" s="498"/>
      <c r="F288" s="498"/>
      <c r="G288" s="498"/>
      <c r="H288" s="498"/>
      <c r="I288" s="476"/>
      <c r="J288" s="476"/>
      <c r="K288" s="476"/>
      <c r="L288" s="476"/>
      <c r="O288" s="340"/>
      <c r="Q288" s="374">
        <f t="shared" si="24"/>
        <v>0.25100000000000017</v>
      </c>
      <c r="R288" s="206">
        <f t="shared" ref="R288:R319" si="26">5/16</f>
        <v>0.3125</v>
      </c>
    </row>
    <row r="289" spans="1:18">
      <c r="A289" s="485"/>
      <c r="B289" s="473"/>
      <c r="C289" s="473"/>
      <c r="D289" s="473"/>
      <c r="E289" s="473"/>
      <c r="F289" s="473"/>
      <c r="G289" s="473"/>
      <c r="H289" s="473"/>
      <c r="I289" s="476"/>
      <c r="J289" s="476"/>
      <c r="K289" s="476"/>
      <c r="L289" s="476"/>
      <c r="O289" s="340"/>
      <c r="Q289" s="374">
        <f t="shared" si="24"/>
        <v>0.25200000000000017</v>
      </c>
      <c r="R289" s="206">
        <f t="shared" si="26"/>
        <v>0.3125</v>
      </c>
    </row>
    <row r="290" spans="1:18">
      <c r="A290" s="849"/>
      <c r="B290" s="475"/>
      <c r="C290" s="475"/>
      <c r="D290" s="476"/>
      <c r="E290" s="476"/>
      <c r="F290" s="476"/>
      <c r="G290" s="476"/>
      <c r="H290" s="476"/>
      <c r="I290" s="476"/>
      <c r="J290" s="476"/>
      <c r="K290" s="476"/>
      <c r="L290" s="476"/>
      <c r="O290" s="340"/>
      <c r="Q290" s="374">
        <f t="shared" si="24"/>
        <v>0.25300000000000017</v>
      </c>
      <c r="R290" s="206">
        <f t="shared" si="26"/>
        <v>0.3125</v>
      </c>
    </row>
    <row r="291" spans="1:18" ht="12.75" customHeight="1">
      <c r="A291" s="849"/>
      <c r="B291" s="505"/>
      <c r="C291" s="475"/>
      <c r="D291" s="476"/>
      <c r="E291" s="476"/>
      <c r="F291" s="476"/>
      <c r="G291" s="476"/>
      <c r="H291" s="476"/>
      <c r="I291" s="476"/>
      <c r="J291" s="476"/>
      <c r="K291" s="476"/>
      <c r="L291" s="476"/>
      <c r="O291" s="340"/>
      <c r="Q291" s="374">
        <f t="shared" si="24"/>
        <v>0.25400000000000017</v>
      </c>
      <c r="R291" s="206">
        <f t="shared" si="26"/>
        <v>0.3125</v>
      </c>
    </row>
    <row r="292" spans="1:18">
      <c r="A292" s="849"/>
      <c r="B292" s="482"/>
      <c r="C292" s="475"/>
      <c r="D292" s="476"/>
      <c r="E292" s="476"/>
      <c r="F292" s="476"/>
      <c r="G292" s="476"/>
      <c r="H292" s="476"/>
      <c r="I292" s="476"/>
      <c r="J292" s="476"/>
      <c r="K292" s="476"/>
      <c r="L292" s="476"/>
      <c r="O292" s="340"/>
      <c r="Q292" s="374">
        <f t="shared" si="24"/>
        <v>0.25500000000000017</v>
      </c>
      <c r="R292" s="206">
        <f t="shared" si="26"/>
        <v>0.3125</v>
      </c>
    </row>
    <row r="293" spans="1:18">
      <c r="A293" s="485"/>
      <c r="B293" s="489"/>
      <c r="C293" s="475"/>
      <c r="D293" s="476"/>
      <c r="E293" s="476"/>
      <c r="F293" s="476"/>
      <c r="G293" s="476"/>
      <c r="H293" s="476"/>
      <c r="I293" s="476"/>
      <c r="J293" s="476"/>
      <c r="K293" s="476"/>
      <c r="L293" s="476"/>
      <c r="O293" s="340"/>
      <c r="Q293" s="374">
        <f t="shared" si="24"/>
        <v>0.25600000000000017</v>
      </c>
      <c r="R293" s="206">
        <f t="shared" si="26"/>
        <v>0.3125</v>
      </c>
    </row>
    <row r="294" spans="1:18">
      <c r="A294" s="476"/>
      <c r="B294" s="482"/>
      <c r="C294" s="475"/>
      <c r="D294" s="476"/>
      <c r="E294" s="476"/>
      <c r="F294" s="476"/>
      <c r="G294" s="476"/>
      <c r="H294" s="476"/>
      <c r="I294" s="476"/>
      <c r="J294" s="476"/>
      <c r="K294" s="476"/>
      <c r="L294" s="476"/>
      <c r="O294" s="340"/>
      <c r="Q294" s="374">
        <f t="shared" si="24"/>
        <v>0.25700000000000017</v>
      </c>
      <c r="R294" s="206">
        <f t="shared" si="26"/>
        <v>0.3125</v>
      </c>
    </row>
    <row r="295" spans="1:18">
      <c r="A295" s="476"/>
      <c r="B295" s="476"/>
      <c r="C295" s="476"/>
      <c r="D295" s="476"/>
      <c r="E295" s="476"/>
      <c r="F295" s="476"/>
      <c r="G295" s="476"/>
      <c r="H295" s="476"/>
      <c r="I295" s="476"/>
      <c r="J295" s="476"/>
      <c r="K295" s="476"/>
      <c r="L295" s="476"/>
      <c r="O295" s="340"/>
      <c r="Q295" s="374">
        <f t="shared" ref="Q295:Q358" si="27">Q294+0.001</f>
        <v>0.25800000000000017</v>
      </c>
      <c r="R295" s="206">
        <f t="shared" si="26"/>
        <v>0.3125</v>
      </c>
    </row>
    <row r="296" spans="1:18">
      <c r="A296" s="476"/>
      <c r="B296" s="476"/>
      <c r="C296" s="476"/>
      <c r="D296" s="476"/>
      <c r="E296" s="476"/>
      <c r="F296" s="476"/>
      <c r="G296" s="476"/>
      <c r="H296" s="476"/>
      <c r="I296" s="476"/>
      <c r="J296" s="476"/>
      <c r="K296" s="476"/>
      <c r="L296" s="476"/>
      <c r="O296" s="340"/>
      <c r="Q296" s="374">
        <f t="shared" si="27"/>
        <v>0.25900000000000017</v>
      </c>
      <c r="R296" s="206">
        <f t="shared" si="26"/>
        <v>0.3125</v>
      </c>
    </row>
    <row r="297" spans="1:18">
      <c r="A297" s="476"/>
      <c r="B297" s="476"/>
      <c r="C297" s="476"/>
      <c r="D297" s="476"/>
      <c r="E297" s="476"/>
      <c r="F297" s="476"/>
      <c r="G297" s="476"/>
      <c r="H297" s="476"/>
      <c r="I297" s="476"/>
      <c r="J297" s="476"/>
      <c r="K297" s="476"/>
      <c r="L297" s="476"/>
      <c r="O297" s="340"/>
      <c r="Q297" s="374">
        <f t="shared" si="27"/>
        <v>0.26000000000000018</v>
      </c>
      <c r="R297" s="206">
        <f t="shared" si="26"/>
        <v>0.3125</v>
      </c>
    </row>
    <row r="298" spans="1:18">
      <c r="A298" s="476"/>
      <c r="B298" s="476"/>
      <c r="C298" s="476"/>
      <c r="D298" s="476"/>
      <c r="E298" s="476"/>
      <c r="F298" s="476"/>
      <c r="G298" s="476"/>
      <c r="H298" s="476"/>
      <c r="I298" s="476"/>
      <c r="J298" s="476"/>
      <c r="K298" s="476"/>
      <c r="L298" s="476"/>
      <c r="O298" s="340"/>
      <c r="Q298" s="374">
        <f t="shared" si="27"/>
        <v>0.26100000000000018</v>
      </c>
      <c r="R298" s="206">
        <f t="shared" si="26"/>
        <v>0.3125</v>
      </c>
    </row>
    <row r="299" spans="1:18" ht="12.75" customHeight="1">
      <c r="A299" s="476"/>
      <c r="B299" s="476"/>
      <c r="C299" s="476"/>
      <c r="D299" s="476"/>
      <c r="E299" s="476"/>
      <c r="F299" s="476"/>
      <c r="G299" s="476"/>
      <c r="H299" s="476"/>
      <c r="I299" s="476"/>
      <c r="J299" s="476"/>
      <c r="K299" s="476"/>
      <c r="L299" s="476"/>
      <c r="O299" s="340"/>
      <c r="Q299" s="374">
        <f t="shared" si="27"/>
        <v>0.26200000000000018</v>
      </c>
      <c r="R299" s="206">
        <f t="shared" si="26"/>
        <v>0.3125</v>
      </c>
    </row>
    <row r="300" spans="1:18">
      <c r="A300" s="476"/>
      <c r="B300" s="476"/>
      <c r="C300" s="476"/>
      <c r="D300" s="476"/>
      <c r="E300" s="476"/>
      <c r="F300" s="476"/>
      <c r="G300" s="476"/>
      <c r="H300" s="476"/>
      <c r="I300" s="476"/>
      <c r="J300" s="476"/>
      <c r="K300" s="476"/>
      <c r="L300" s="476"/>
      <c r="O300" s="340"/>
      <c r="Q300" s="374">
        <f t="shared" si="27"/>
        <v>0.26300000000000018</v>
      </c>
      <c r="R300" s="206">
        <f t="shared" si="26"/>
        <v>0.3125</v>
      </c>
    </row>
    <row r="301" spans="1:18">
      <c r="A301" s="476"/>
      <c r="B301" s="476"/>
      <c r="C301" s="476"/>
      <c r="D301" s="476"/>
      <c r="E301" s="476"/>
      <c r="F301" s="476"/>
      <c r="G301" s="476"/>
      <c r="H301" s="476"/>
      <c r="I301" s="476"/>
      <c r="J301" s="476"/>
      <c r="K301" s="476"/>
      <c r="L301" s="476"/>
      <c r="O301" s="340"/>
      <c r="Q301" s="374">
        <f t="shared" si="27"/>
        <v>0.26400000000000018</v>
      </c>
      <c r="R301" s="206">
        <f t="shared" si="26"/>
        <v>0.3125</v>
      </c>
    </row>
    <row r="302" spans="1:18">
      <c r="A302" s="476"/>
      <c r="B302" s="476"/>
      <c r="C302" s="476"/>
      <c r="D302" s="476"/>
      <c r="E302" s="476"/>
      <c r="F302" s="476"/>
      <c r="G302" s="476"/>
      <c r="H302" s="476"/>
      <c r="I302" s="476"/>
      <c r="J302" s="476"/>
      <c r="K302" s="476"/>
      <c r="L302" s="476"/>
      <c r="O302" s="340"/>
      <c r="Q302" s="374">
        <f t="shared" si="27"/>
        <v>0.26500000000000018</v>
      </c>
      <c r="R302" s="206">
        <f t="shared" si="26"/>
        <v>0.3125</v>
      </c>
    </row>
    <row r="303" spans="1:18">
      <c r="A303" s="476"/>
      <c r="B303" s="476"/>
      <c r="C303" s="476"/>
      <c r="D303" s="476"/>
      <c r="E303" s="476"/>
      <c r="F303" s="476"/>
      <c r="G303" s="476"/>
      <c r="H303" s="476"/>
      <c r="I303" s="476"/>
      <c r="J303" s="476"/>
      <c r="K303" s="476"/>
      <c r="L303" s="476"/>
      <c r="O303" s="340"/>
      <c r="Q303" s="374">
        <f t="shared" si="27"/>
        <v>0.26600000000000018</v>
      </c>
      <c r="R303" s="206">
        <f t="shared" si="26"/>
        <v>0.3125</v>
      </c>
    </row>
    <row r="304" spans="1:18">
      <c r="A304" s="476"/>
      <c r="B304" s="476"/>
      <c r="C304" s="476"/>
      <c r="D304" s="476"/>
      <c r="E304" s="476"/>
      <c r="F304" s="476"/>
      <c r="G304" s="476"/>
      <c r="H304" s="476"/>
      <c r="I304" s="476"/>
      <c r="J304" s="476"/>
      <c r="K304" s="476"/>
      <c r="L304" s="476"/>
      <c r="O304" s="340"/>
      <c r="Q304" s="374">
        <f t="shared" si="27"/>
        <v>0.26700000000000018</v>
      </c>
      <c r="R304" s="206">
        <f t="shared" si="26"/>
        <v>0.3125</v>
      </c>
    </row>
    <row r="305" spans="1:18">
      <c r="A305" s="476"/>
      <c r="B305" s="476"/>
      <c r="C305" s="476"/>
      <c r="D305" s="476"/>
      <c r="E305" s="476"/>
      <c r="F305" s="476"/>
      <c r="G305" s="476"/>
      <c r="H305" s="476"/>
      <c r="I305" s="476"/>
      <c r="J305" s="476"/>
      <c r="K305" s="476"/>
      <c r="L305" s="476"/>
      <c r="O305" s="340"/>
      <c r="Q305" s="374">
        <f t="shared" si="27"/>
        <v>0.26800000000000018</v>
      </c>
      <c r="R305" s="206">
        <f t="shared" si="26"/>
        <v>0.3125</v>
      </c>
    </row>
    <row r="306" spans="1:18">
      <c r="A306" s="476"/>
      <c r="B306" s="476"/>
      <c r="C306" s="476"/>
      <c r="D306" s="476"/>
      <c r="E306" s="476"/>
      <c r="F306" s="476"/>
      <c r="G306" s="476"/>
      <c r="H306" s="476"/>
      <c r="I306" s="476"/>
      <c r="J306" s="476"/>
      <c r="K306" s="476"/>
      <c r="L306" s="476"/>
      <c r="O306" s="340"/>
      <c r="Q306" s="374">
        <f t="shared" si="27"/>
        <v>0.26900000000000018</v>
      </c>
      <c r="R306" s="206">
        <f t="shared" si="26"/>
        <v>0.3125</v>
      </c>
    </row>
    <row r="307" spans="1:18">
      <c r="A307" s="476"/>
      <c r="B307" s="476"/>
      <c r="C307" s="476"/>
      <c r="D307" s="476"/>
      <c r="E307" s="476"/>
      <c r="F307" s="476"/>
      <c r="G307" s="476"/>
      <c r="H307" s="476"/>
      <c r="I307" s="476"/>
      <c r="J307" s="476"/>
      <c r="K307" s="476"/>
      <c r="L307" s="476"/>
      <c r="O307" s="340"/>
      <c r="Q307" s="374">
        <f t="shared" si="27"/>
        <v>0.27000000000000018</v>
      </c>
      <c r="R307" s="206">
        <f t="shared" si="26"/>
        <v>0.3125</v>
      </c>
    </row>
    <row r="308" spans="1:18" ht="12.75" customHeight="1">
      <c r="A308" s="476"/>
      <c r="B308" s="476"/>
      <c r="C308" s="476"/>
      <c r="D308" s="476"/>
      <c r="E308" s="476"/>
      <c r="F308" s="476"/>
      <c r="G308" s="476"/>
      <c r="H308" s="476"/>
      <c r="I308" s="476"/>
      <c r="J308" s="476"/>
      <c r="K308" s="476"/>
      <c r="L308" s="476"/>
      <c r="O308" s="340"/>
      <c r="Q308" s="374">
        <f t="shared" si="27"/>
        <v>0.27100000000000019</v>
      </c>
      <c r="R308" s="206">
        <f t="shared" si="26"/>
        <v>0.3125</v>
      </c>
    </row>
    <row r="309" spans="1:18">
      <c r="A309" s="476"/>
      <c r="B309" s="476"/>
      <c r="C309" s="476"/>
      <c r="D309" s="476"/>
      <c r="E309" s="476"/>
      <c r="F309" s="476"/>
      <c r="G309" s="476"/>
      <c r="H309" s="476"/>
      <c r="I309" s="476"/>
      <c r="J309" s="476"/>
      <c r="K309" s="476"/>
      <c r="L309" s="476"/>
      <c r="O309" s="340"/>
      <c r="Q309" s="374">
        <f t="shared" si="27"/>
        <v>0.27200000000000019</v>
      </c>
      <c r="R309" s="206">
        <f t="shared" si="26"/>
        <v>0.3125</v>
      </c>
    </row>
    <row r="310" spans="1:18">
      <c r="A310" s="476"/>
      <c r="B310" s="476"/>
      <c r="C310" s="476"/>
      <c r="D310" s="476"/>
      <c r="E310" s="476"/>
      <c r="F310" s="476"/>
      <c r="G310" s="476"/>
      <c r="H310" s="476"/>
      <c r="I310" s="476"/>
      <c r="J310" s="476"/>
      <c r="K310" s="476"/>
      <c r="L310" s="476"/>
      <c r="O310" s="340"/>
      <c r="Q310" s="374">
        <f t="shared" si="27"/>
        <v>0.27300000000000019</v>
      </c>
      <c r="R310" s="206">
        <f t="shared" si="26"/>
        <v>0.3125</v>
      </c>
    </row>
    <row r="311" spans="1:18">
      <c r="A311" s="476"/>
      <c r="B311" s="476"/>
      <c r="C311" s="476"/>
      <c r="D311" s="476"/>
      <c r="E311" s="476"/>
      <c r="F311" s="476"/>
      <c r="G311" s="476"/>
      <c r="H311" s="476"/>
      <c r="I311" s="476"/>
      <c r="J311" s="476"/>
      <c r="K311" s="476"/>
      <c r="L311" s="476"/>
      <c r="O311" s="340"/>
      <c r="Q311" s="374">
        <f t="shared" si="27"/>
        <v>0.27400000000000019</v>
      </c>
      <c r="R311" s="206">
        <f t="shared" si="26"/>
        <v>0.3125</v>
      </c>
    </row>
    <row r="312" spans="1:18">
      <c r="A312" s="476"/>
      <c r="B312" s="476"/>
      <c r="C312" s="476"/>
      <c r="D312" s="476"/>
      <c r="E312" s="476"/>
      <c r="F312" s="476"/>
      <c r="G312" s="476"/>
      <c r="H312" s="476"/>
      <c r="I312" s="476"/>
      <c r="J312" s="476"/>
      <c r="K312" s="476"/>
      <c r="L312" s="476"/>
      <c r="O312" s="340"/>
      <c r="Q312" s="374">
        <f t="shared" si="27"/>
        <v>0.27500000000000019</v>
      </c>
      <c r="R312" s="206">
        <f t="shared" si="26"/>
        <v>0.3125</v>
      </c>
    </row>
    <row r="313" spans="1:18">
      <c r="A313" s="476"/>
      <c r="B313" s="476"/>
      <c r="C313" s="476"/>
      <c r="D313" s="476"/>
      <c r="E313" s="476"/>
      <c r="F313" s="476"/>
      <c r="G313" s="476"/>
      <c r="H313" s="476"/>
      <c r="I313" s="476"/>
      <c r="J313" s="476"/>
      <c r="K313" s="476"/>
      <c r="L313" s="476"/>
      <c r="O313" s="340"/>
      <c r="Q313" s="374">
        <f t="shared" si="27"/>
        <v>0.27600000000000019</v>
      </c>
      <c r="R313" s="206">
        <f t="shared" si="26"/>
        <v>0.3125</v>
      </c>
    </row>
    <row r="314" spans="1:18" ht="12.75" customHeight="1">
      <c r="A314" s="476"/>
      <c r="B314" s="476"/>
      <c r="C314" s="476"/>
      <c r="D314" s="476"/>
      <c r="E314" s="476"/>
      <c r="F314" s="476"/>
      <c r="G314" s="476"/>
      <c r="H314" s="476"/>
      <c r="I314" s="476"/>
      <c r="J314" s="476"/>
      <c r="K314" s="476"/>
      <c r="L314" s="476"/>
      <c r="O314" s="340"/>
      <c r="Q314" s="374">
        <f t="shared" si="27"/>
        <v>0.27700000000000019</v>
      </c>
      <c r="R314" s="206">
        <f t="shared" si="26"/>
        <v>0.3125</v>
      </c>
    </row>
    <row r="315" spans="1:18">
      <c r="A315" s="476"/>
      <c r="B315" s="476"/>
      <c r="C315" s="476"/>
      <c r="D315" s="476"/>
      <c r="E315" s="476"/>
      <c r="F315" s="476"/>
      <c r="G315" s="476"/>
      <c r="H315" s="476"/>
      <c r="I315" s="476"/>
      <c r="J315" s="476"/>
      <c r="K315" s="476"/>
      <c r="L315" s="476"/>
      <c r="O315" s="340"/>
      <c r="Q315" s="374">
        <f t="shared" si="27"/>
        <v>0.27800000000000019</v>
      </c>
      <c r="R315" s="206">
        <f t="shared" si="26"/>
        <v>0.3125</v>
      </c>
    </row>
    <row r="316" spans="1:18">
      <c r="A316" s="476"/>
      <c r="B316" s="476"/>
      <c r="C316" s="476"/>
      <c r="D316" s="476"/>
      <c r="E316" s="476"/>
      <c r="F316" s="476"/>
      <c r="G316" s="476"/>
      <c r="H316" s="476"/>
      <c r="I316" s="476"/>
      <c r="J316" s="476"/>
      <c r="K316" s="476"/>
      <c r="L316" s="476"/>
      <c r="O316" s="340"/>
      <c r="Q316" s="374">
        <f t="shared" si="27"/>
        <v>0.27900000000000019</v>
      </c>
      <c r="R316" s="206">
        <f t="shared" si="26"/>
        <v>0.3125</v>
      </c>
    </row>
    <row r="317" spans="1:18">
      <c r="A317" s="476"/>
      <c r="B317" s="476"/>
      <c r="C317" s="476"/>
      <c r="D317" s="476"/>
      <c r="E317" s="476"/>
      <c r="F317" s="476"/>
      <c r="G317" s="476"/>
      <c r="H317" s="476"/>
      <c r="I317" s="476"/>
      <c r="J317" s="476"/>
      <c r="K317" s="476"/>
      <c r="L317" s="476"/>
      <c r="O317" s="340"/>
      <c r="Q317" s="374">
        <f t="shared" si="27"/>
        <v>0.28000000000000019</v>
      </c>
      <c r="R317" s="206">
        <f t="shared" si="26"/>
        <v>0.3125</v>
      </c>
    </row>
    <row r="318" spans="1:18">
      <c r="A318" s="476"/>
      <c r="B318" s="476"/>
      <c r="C318" s="476"/>
      <c r="D318" s="476"/>
      <c r="E318" s="476"/>
      <c r="F318" s="476"/>
      <c r="G318" s="476"/>
      <c r="H318" s="476"/>
      <c r="I318" s="476"/>
      <c r="J318" s="476"/>
      <c r="K318" s="476"/>
      <c r="L318" s="476"/>
      <c r="O318" s="340"/>
      <c r="Q318" s="374">
        <f t="shared" si="27"/>
        <v>0.28100000000000019</v>
      </c>
      <c r="R318" s="206">
        <f t="shared" si="26"/>
        <v>0.3125</v>
      </c>
    </row>
    <row r="319" spans="1:18">
      <c r="B319" s="476"/>
      <c r="C319" s="476"/>
      <c r="D319" s="476"/>
      <c r="E319" s="476"/>
      <c r="F319" s="476"/>
      <c r="G319" s="476"/>
      <c r="H319" s="476"/>
      <c r="I319" s="476"/>
      <c r="J319" s="476"/>
      <c r="K319" s="476"/>
      <c r="L319" s="476"/>
      <c r="O319" s="340"/>
      <c r="Q319" s="374">
        <f t="shared" si="27"/>
        <v>0.28200000000000019</v>
      </c>
      <c r="R319" s="206">
        <f t="shared" si="26"/>
        <v>0.3125</v>
      </c>
    </row>
    <row r="320" spans="1:18">
      <c r="H320" s="476"/>
      <c r="I320" s="476"/>
      <c r="J320" s="476"/>
      <c r="K320" s="476"/>
      <c r="L320" s="476"/>
      <c r="O320" s="340"/>
      <c r="Q320" s="374">
        <f t="shared" si="27"/>
        <v>0.2830000000000002</v>
      </c>
      <c r="R320" s="206">
        <f t="shared" ref="R320:R349" si="28">5/16</f>
        <v>0.3125</v>
      </c>
    </row>
    <row r="321" spans="8:18">
      <c r="H321" s="476"/>
      <c r="I321" s="476"/>
      <c r="J321" s="476"/>
      <c r="K321" s="476"/>
      <c r="L321" s="476"/>
      <c r="O321" s="340"/>
      <c r="Q321" s="374">
        <f t="shared" si="27"/>
        <v>0.2840000000000002</v>
      </c>
      <c r="R321" s="206">
        <f t="shared" si="28"/>
        <v>0.3125</v>
      </c>
    </row>
    <row r="322" spans="8:18">
      <c r="H322" s="476"/>
      <c r="I322" s="476"/>
      <c r="J322" s="476"/>
      <c r="K322" s="476"/>
      <c r="L322" s="476"/>
      <c r="O322" s="340"/>
      <c r="Q322" s="374">
        <f t="shared" si="27"/>
        <v>0.2850000000000002</v>
      </c>
      <c r="R322" s="206">
        <f t="shared" si="28"/>
        <v>0.3125</v>
      </c>
    </row>
    <row r="323" spans="8:18">
      <c r="H323" s="476"/>
      <c r="I323" s="476"/>
      <c r="J323" s="476"/>
      <c r="K323" s="476"/>
      <c r="L323" s="476"/>
      <c r="O323" s="340"/>
      <c r="Q323" s="374">
        <f t="shared" si="27"/>
        <v>0.2860000000000002</v>
      </c>
      <c r="R323" s="206">
        <f t="shared" si="28"/>
        <v>0.3125</v>
      </c>
    </row>
    <row r="324" spans="8:18">
      <c r="H324" s="476"/>
      <c r="I324" s="476"/>
      <c r="J324" s="476"/>
      <c r="K324" s="476"/>
      <c r="L324" s="476"/>
      <c r="O324" s="340"/>
      <c r="Q324" s="374">
        <f t="shared" si="27"/>
        <v>0.2870000000000002</v>
      </c>
      <c r="R324" s="206">
        <f t="shared" si="28"/>
        <v>0.3125</v>
      </c>
    </row>
    <row r="325" spans="8:18">
      <c r="H325" s="476"/>
      <c r="I325" s="476"/>
      <c r="J325" s="476"/>
      <c r="K325" s="476"/>
      <c r="L325" s="476"/>
      <c r="O325" s="340"/>
      <c r="Q325" s="374">
        <f t="shared" si="27"/>
        <v>0.2880000000000002</v>
      </c>
      <c r="R325" s="206">
        <f t="shared" si="28"/>
        <v>0.3125</v>
      </c>
    </row>
    <row r="326" spans="8:18">
      <c r="H326" s="476"/>
      <c r="I326" s="476"/>
      <c r="J326" s="476"/>
      <c r="K326" s="476"/>
      <c r="L326" s="476"/>
      <c r="O326" s="340"/>
      <c r="Q326" s="374">
        <f t="shared" si="27"/>
        <v>0.2890000000000002</v>
      </c>
      <c r="R326" s="206">
        <f t="shared" si="28"/>
        <v>0.3125</v>
      </c>
    </row>
    <row r="327" spans="8:18">
      <c r="H327" s="476"/>
      <c r="I327" s="476"/>
      <c r="J327" s="476"/>
      <c r="K327" s="476"/>
      <c r="L327" s="476"/>
      <c r="O327" s="340"/>
      <c r="Q327" s="374">
        <f t="shared" si="27"/>
        <v>0.2900000000000002</v>
      </c>
      <c r="R327" s="206">
        <f t="shared" si="28"/>
        <v>0.3125</v>
      </c>
    </row>
    <row r="328" spans="8:18">
      <c r="H328" s="476"/>
      <c r="I328" s="476"/>
      <c r="J328" s="476"/>
      <c r="K328" s="476"/>
      <c r="L328" s="476"/>
      <c r="O328" s="340"/>
      <c r="Q328" s="374">
        <f t="shared" si="27"/>
        <v>0.2910000000000002</v>
      </c>
      <c r="R328" s="206">
        <f t="shared" si="28"/>
        <v>0.3125</v>
      </c>
    </row>
    <row r="329" spans="8:18">
      <c r="H329" s="476"/>
      <c r="I329" s="476"/>
      <c r="J329" s="476"/>
      <c r="K329" s="476"/>
      <c r="L329" s="476"/>
      <c r="O329" s="340"/>
      <c r="Q329" s="374">
        <f t="shared" si="27"/>
        <v>0.2920000000000002</v>
      </c>
      <c r="R329" s="206">
        <f t="shared" si="28"/>
        <v>0.3125</v>
      </c>
    </row>
    <row r="330" spans="8:18">
      <c r="I330" s="476"/>
      <c r="J330" s="476"/>
      <c r="K330" s="476"/>
      <c r="L330" s="476"/>
      <c r="O330" s="340"/>
      <c r="Q330" s="374">
        <f t="shared" si="27"/>
        <v>0.2930000000000002</v>
      </c>
      <c r="R330" s="206">
        <f t="shared" si="28"/>
        <v>0.3125</v>
      </c>
    </row>
    <row r="331" spans="8:18">
      <c r="I331" s="476"/>
      <c r="J331" s="476"/>
      <c r="K331" s="476"/>
      <c r="L331" s="476"/>
      <c r="O331" s="340"/>
      <c r="Q331" s="374">
        <f t="shared" si="27"/>
        <v>0.29400000000000021</v>
      </c>
      <c r="R331" s="206">
        <f t="shared" si="28"/>
        <v>0.3125</v>
      </c>
    </row>
    <row r="332" spans="8:18">
      <c r="I332" s="476"/>
      <c r="J332" s="476"/>
      <c r="K332" s="476"/>
      <c r="L332" s="476"/>
      <c r="O332" s="340"/>
      <c r="Q332" s="374">
        <f t="shared" si="27"/>
        <v>0.29500000000000021</v>
      </c>
      <c r="R332" s="206">
        <f t="shared" si="28"/>
        <v>0.3125</v>
      </c>
    </row>
    <row r="333" spans="8:18" ht="12.75" customHeight="1">
      <c r="I333" s="476"/>
      <c r="J333" s="476"/>
      <c r="K333" s="476"/>
      <c r="L333" s="476"/>
      <c r="O333" s="340"/>
      <c r="Q333" s="374">
        <f t="shared" si="27"/>
        <v>0.29600000000000021</v>
      </c>
      <c r="R333" s="206">
        <f t="shared" si="28"/>
        <v>0.3125</v>
      </c>
    </row>
    <row r="334" spans="8:18">
      <c r="I334" s="476"/>
      <c r="J334" s="476"/>
      <c r="K334" s="476"/>
      <c r="L334" s="476"/>
      <c r="O334" s="340"/>
      <c r="Q334" s="374">
        <f t="shared" si="27"/>
        <v>0.29700000000000021</v>
      </c>
      <c r="R334" s="206">
        <f t="shared" si="28"/>
        <v>0.3125</v>
      </c>
    </row>
    <row r="335" spans="8:18">
      <c r="I335" s="476"/>
      <c r="J335" s="476"/>
      <c r="K335" s="476"/>
      <c r="L335" s="476"/>
      <c r="O335" s="340"/>
      <c r="Q335" s="374">
        <f t="shared" si="27"/>
        <v>0.29800000000000021</v>
      </c>
      <c r="R335" s="206">
        <f t="shared" si="28"/>
        <v>0.3125</v>
      </c>
    </row>
    <row r="336" spans="8:18">
      <c r="I336" s="476"/>
      <c r="J336" s="476"/>
      <c r="K336" s="476"/>
      <c r="L336" s="476"/>
      <c r="O336" s="340"/>
      <c r="Q336" s="374">
        <f t="shared" si="27"/>
        <v>0.29900000000000021</v>
      </c>
      <c r="R336" s="206">
        <f t="shared" si="28"/>
        <v>0.3125</v>
      </c>
    </row>
    <row r="337" spans="9:18">
      <c r="I337" s="476"/>
      <c r="J337" s="476"/>
      <c r="K337" s="476"/>
      <c r="L337" s="476"/>
      <c r="O337" s="340"/>
      <c r="Q337" s="374">
        <f t="shared" si="27"/>
        <v>0.30000000000000021</v>
      </c>
      <c r="R337" s="206">
        <f t="shared" si="28"/>
        <v>0.3125</v>
      </c>
    </row>
    <row r="338" spans="9:18">
      <c r="I338" s="476"/>
      <c r="J338" s="476"/>
      <c r="K338" s="476"/>
      <c r="L338" s="476"/>
      <c r="O338" s="340"/>
      <c r="Q338" s="374">
        <f t="shared" si="27"/>
        <v>0.30100000000000021</v>
      </c>
      <c r="R338" s="206">
        <f t="shared" si="28"/>
        <v>0.3125</v>
      </c>
    </row>
    <row r="339" spans="9:18">
      <c r="I339" s="476"/>
      <c r="J339" s="476"/>
      <c r="K339" s="476"/>
      <c r="L339" s="476"/>
      <c r="O339" s="340"/>
      <c r="Q339" s="374">
        <f t="shared" si="27"/>
        <v>0.30200000000000021</v>
      </c>
      <c r="R339" s="206">
        <f t="shared" si="28"/>
        <v>0.3125</v>
      </c>
    </row>
    <row r="340" spans="9:18">
      <c r="I340" s="476"/>
      <c r="J340" s="476"/>
      <c r="K340" s="476"/>
      <c r="L340" s="476"/>
      <c r="O340" s="340"/>
      <c r="Q340" s="374">
        <f t="shared" si="27"/>
        <v>0.30300000000000021</v>
      </c>
      <c r="R340" s="206">
        <f t="shared" si="28"/>
        <v>0.3125</v>
      </c>
    </row>
    <row r="341" spans="9:18" ht="12.75" customHeight="1">
      <c r="I341" s="476"/>
      <c r="J341" s="476"/>
      <c r="K341" s="476"/>
      <c r="L341" s="476"/>
      <c r="O341" s="340"/>
      <c r="Q341" s="374">
        <f t="shared" si="27"/>
        <v>0.30400000000000021</v>
      </c>
      <c r="R341" s="206">
        <f t="shared" si="28"/>
        <v>0.3125</v>
      </c>
    </row>
    <row r="342" spans="9:18">
      <c r="I342" s="476"/>
      <c r="J342" s="476"/>
      <c r="K342" s="476"/>
      <c r="L342" s="476"/>
      <c r="O342" s="340"/>
      <c r="Q342" s="374">
        <f t="shared" si="27"/>
        <v>0.30500000000000022</v>
      </c>
      <c r="R342" s="206">
        <f t="shared" si="28"/>
        <v>0.3125</v>
      </c>
    </row>
    <row r="343" spans="9:18">
      <c r="I343" s="476"/>
      <c r="J343" s="476"/>
      <c r="K343" s="476"/>
      <c r="L343" s="476"/>
      <c r="O343" s="340"/>
      <c r="Q343" s="374">
        <f t="shared" si="27"/>
        <v>0.30600000000000022</v>
      </c>
      <c r="R343" s="206">
        <f t="shared" si="28"/>
        <v>0.3125</v>
      </c>
    </row>
    <row r="344" spans="9:18">
      <c r="I344" s="476"/>
      <c r="J344" s="476"/>
      <c r="K344" s="476"/>
      <c r="L344" s="476"/>
      <c r="O344" s="340"/>
      <c r="Q344" s="374">
        <f t="shared" si="27"/>
        <v>0.30700000000000022</v>
      </c>
      <c r="R344" s="206">
        <f t="shared" si="28"/>
        <v>0.3125</v>
      </c>
    </row>
    <row r="345" spans="9:18">
      <c r="I345" s="476"/>
      <c r="J345" s="476"/>
      <c r="K345" s="476"/>
      <c r="L345" s="476"/>
      <c r="O345" s="340"/>
      <c r="Q345" s="374">
        <f t="shared" si="27"/>
        <v>0.30800000000000022</v>
      </c>
      <c r="R345" s="206">
        <f t="shared" si="28"/>
        <v>0.3125</v>
      </c>
    </row>
    <row r="346" spans="9:18">
      <c r="I346" s="476"/>
      <c r="J346" s="476"/>
      <c r="K346" s="476"/>
      <c r="L346" s="476"/>
      <c r="O346" s="340"/>
      <c r="Q346" s="374">
        <f t="shared" si="27"/>
        <v>0.30900000000000022</v>
      </c>
      <c r="R346" s="206">
        <f t="shared" si="28"/>
        <v>0.3125</v>
      </c>
    </row>
    <row r="347" spans="9:18">
      <c r="I347" s="476"/>
      <c r="J347" s="476"/>
      <c r="K347" s="476"/>
      <c r="L347" s="476"/>
      <c r="O347" s="340"/>
      <c r="Q347" s="374">
        <f t="shared" si="27"/>
        <v>0.31000000000000022</v>
      </c>
      <c r="R347" s="206">
        <f t="shared" si="28"/>
        <v>0.3125</v>
      </c>
    </row>
    <row r="348" spans="9:18">
      <c r="I348" s="476"/>
      <c r="J348" s="476"/>
      <c r="K348" s="476"/>
      <c r="L348" s="476"/>
      <c r="O348" s="340"/>
      <c r="Q348" s="374">
        <f t="shared" si="27"/>
        <v>0.31100000000000022</v>
      </c>
      <c r="R348" s="206">
        <f t="shared" si="28"/>
        <v>0.3125</v>
      </c>
    </row>
    <row r="349" spans="9:18" ht="12.75" customHeight="1">
      <c r="I349" s="476"/>
      <c r="J349" s="476"/>
      <c r="K349" s="476"/>
      <c r="L349" s="476"/>
      <c r="O349" s="340"/>
      <c r="Q349" s="374">
        <f t="shared" si="27"/>
        <v>0.31200000000000022</v>
      </c>
      <c r="R349" s="206">
        <f t="shared" si="28"/>
        <v>0.3125</v>
      </c>
    </row>
    <row r="350" spans="9:18">
      <c r="I350" s="476"/>
      <c r="J350" s="476"/>
      <c r="K350" s="476"/>
      <c r="L350" s="476"/>
      <c r="O350" s="340"/>
      <c r="Q350" s="374">
        <f t="shared" si="27"/>
        <v>0.31300000000000022</v>
      </c>
      <c r="R350" s="206">
        <f t="shared" ref="R350:R381" si="29">3/8</f>
        <v>0.375</v>
      </c>
    </row>
    <row r="351" spans="9:18">
      <c r="I351" s="476"/>
      <c r="J351" s="476"/>
      <c r="K351" s="476"/>
      <c r="L351" s="476"/>
      <c r="O351" s="340"/>
      <c r="Q351" s="374">
        <f t="shared" si="27"/>
        <v>0.31400000000000022</v>
      </c>
      <c r="R351" s="206">
        <f t="shared" si="29"/>
        <v>0.375</v>
      </c>
    </row>
    <row r="352" spans="9:18" ht="12.75" customHeight="1">
      <c r="I352" s="476"/>
      <c r="J352" s="476"/>
      <c r="K352" s="476"/>
      <c r="L352" s="476"/>
      <c r="O352" s="340"/>
      <c r="Q352" s="374">
        <f t="shared" si="27"/>
        <v>0.31500000000000022</v>
      </c>
      <c r="R352" s="206">
        <f t="shared" si="29"/>
        <v>0.375</v>
      </c>
    </row>
    <row r="353" spans="9:18">
      <c r="I353" s="476"/>
      <c r="J353" s="476"/>
      <c r="K353" s="476"/>
      <c r="L353" s="476"/>
      <c r="O353" s="340"/>
      <c r="Q353" s="374">
        <f t="shared" si="27"/>
        <v>0.31600000000000023</v>
      </c>
      <c r="R353" s="206">
        <f t="shared" si="29"/>
        <v>0.375</v>
      </c>
    </row>
    <row r="354" spans="9:18" ht="12.75" customHeight="1">
      <c r="I354" s="476"/>
      <c r="J354" s="476"/>
      <c r="K354" s="476"/>
      <c r="L354" s="476"/>
      <c r="O354" s="340"/>
      <c r="Q354" s="374">
        <f t="shared" si="27"/>
        <v>0.31700000000000023</v>
      </c>
      <c r="R354" s="206">
        <f t="shared" si="29"/>
        <v>0.375</v>
      </c>
    </row>
    <row r="355" spans="9:18">
      <c r="I355" s="476"/>
      <c r="J355" s="476"/>
      <c r="K355" s="476"/>
      <c r="L355" s="476"/>
      <c r="O355" s="340"/>
      <c r="Q355" s="374">
        <f t="shared" si="27"/>
        <v>0.31800000000000023</v>
      </c>
      <c r="R355" s="206">
        <f t="shared" si="29"/>
        <v>0.375</v>
      </c>
    </row>
    <row r="356" spans="9:18" ht="12.75" customHeight="1">
      <c r="I356" s="476"/>
      <c r="J356" s="476"/>
      <c r="K356" s="476"/>
      <c r="L356" s="476"/>
      <c r="O356" s="340"/>
      <c r="Q356" s="374">
        <f t="shared" si="27"/>
        <v>0.31900000000000023</v>
      </c>
      <c r="R356" s="206">
        <f t="shared" si="29"/>
        <v>0.375</v>
      </c>
    </row>
    <row r="357" spans="9:18">
      <c r="I357" s="476"/>
      <c r="J357" s="476"/>
      <c r="K357" s="476"/>
      <c r="L357" s="476"/>
      <c r="O357" s="340"/>
      <c r="Q357" s="374">
        <f t="shared" si="27"/>
        <v>0.32000000000000023</v>
      </c>
      <c r="R357" s="206">
        <f t="shared" si="29"/>
        <v>0.375</v>
      </c>
    </row>
    <row r="358" spans="9:18" ht="12.75" customHeight="1">
      <c r="I358" s="476"/>
      <c r="J358" s="476"/>
      <c r="K358" s="476"/>
      <c r="L358" s="476"/>
      <c r="O358" s="340"/>
      <c r="Q358" s="374">
        <f t="shared" si="27"/>
        <v>0.32100000000000023</v>
      </c>
      <c r="R358" s="206">
        <f t="shared" si="29"/>
        <v>0.375</v>
      </c>
    </row>
    <row r="359" spans="9:18">
      <c r="I359" s="476"/>
      <c r="J359" s="476"/>
      <c r="K359" s="476"/>
      <c r="L359" s="476"/>
      <c r="O359" s="340"/>
      <c r="Q359" s="374">
        <f t="shared" ref="Q359:Q422" si="30">Q358+0.001</f>
        <v>0.32200000000000023</v>
      </c>
      <c r="R359" s="206">
        <f t="shared" si="29"/>
        <v>0.375</v>
      </c>
    </row>
    <row r="360" spans="9:18">
      <c r="I360" s="476"/>
      <c r="J360" s="476"/>
      <c r="K360" s="476"/>
      <c r="L360" s="476"/>
      <c r="O360" s="340"/>
      <c r="Q360" s="374">
        <f t="shared" si="30"/>
        <v>0.32300000000000023</v>
      </c>
      <c r="R360" s="206">
        <f t="shared" si="29"/>
        <v>0.375</v>
      </c>
    </row>
    <row r="361" spans="9:18">
      <c r="I361" s="476"/>
      <c r="J361" s="476"/>
      <c r="K361" s="476"/>
      <c r="L361" s="476"/>
      <c r="O361" s="340"/>
      <c r="Q361" s="374">
        <f t="shared" si="30"/>
        <v>0.32400000000000023</v>
      </c>
      <c r="R361" s="206">
        <f t="shared" si="29"/>
        <v>0.375</v>
      </c>
    </row>
    <row r="362" spans="9:18" ht="12.75" customHeight="1">
      <c r="I362" s="476"/>
      <c r="J362" s="476"/>
      <c r="K362" s="476"/>
      <c r="L362" s="476"/>
      <c r="O362" s="340"/>
      <c r="Q362" s="374">
        <f t="shared" si="30"/>
        <v>0.32500000000000023</v>
      </c>
      <c r="R362" s="206">
        <f t="shared" si="29"/>
        <v>0.375</v>
      </c>
    </row>
    <row r="363" spans="9:18">
      <c r="I363" s="476"/>
      <c r="J363" s="476"/>
      <c r="K363" s="476"/>
      <c r="L363" s="476"/>
      <c r="O363" s="340"/>
      <c r="Q363" s="374">
        <f t="shared" si="30"/>
        <v>0.32600000000000023</v>
      </c>
      <c r="R363" s="206">
        <f t="shared" si="29"/>
        <v>0.375</v>
      </c>
    </row>
    <row r="364" spans="9:18">
      <c r="I364" s="476"/>
      <c r="J364" s="476"/>
      <c r="K364" s="476"/>
      <c r="L364" s="476"/>
      <c r="O364" s="340"/>
      <c r="Q364" s="374">
        <f t="shared" si="30"/>
        <v>0.32700000000000023</v>
      </c>
      <c r="R364" s="206">
        <f t="shared" si="29"/>
        <v>0.375</v>
      </c>
    </row>
    <row r="365" spans="9:18">
      <c r="I365" s="476"/>
      <c r="J365" s="476"/>
      <c r="K365" s="476"/>
      <c r="L365" s="476"/>
      <c r="O365" s="340"/>
      <c r="Q365" s="374">
        <f t="shared" si="30"/>
        <v>0.32800000000000024</v>
      </c>
      <c r="R365" s="206">
        <f t="shared" si="29"/>
        <v>0.375</v>
      </c>
    </row>
    <row r="366" spans="9:18" ht="12.75" customHeight="1">
      <c r="I366" s="476"/>
      <c r="J366" s="476"/>
      <c r="K366" s="476"/>
      <c r="L366" s="476"/>
      <c r="O366" s="340"/>
      <c r="Q366" s="374">
        <f t="shared" si="30"/>
        <v>0.32900000000000024</v>
      </c>
      <c r="R366" s="206">
        <f t="shared" si="29"/>
        <v>0.375</v>
      </c>
    </row>
    <row r="367" spans="9:18">
      <c r="I367" s="476"/>
      <c r="J367" s="476"/>
      <c r="K367" s="476"/>
      <c r="L367" s="476"/>
      <c r="O367" s="340"/>
      <c r="Q367" s="374">
        <f t="shared" si="30"/>
        <v>0.33000000000000024</v>
      </c>
      <c r="R367" s="206">
        <f t="shared" si="29"/>
        <v>0.375</v>
      </c>
    </row>
    <row r="368" spans="9:18">
      <c r="I368" s="476"/>
      <c r="J368" s="476"/>
      <c r="K368" s="476"/>
      <c r="L368" s="476"/>
      <c r="O368" s="340"/>
      <c r="Q368" s="374">
        <f t="shared" si="30"/>
        <v>0.33100000000000024</v>
      </c>
      <c r="R368" s="206">
        <f t="shared" si="29"/>
        <v>0.375</v>
      </c>
    </row>
    <row r="369" spans="9:18">
      <c r="I369" s="476"/>
      <c r="J369" s="476"/>
      <c r="K369" s="476"/>
      <c r="L369" s="476"/>
      <c r="O369" s="340"/>
      <c r="Q369" s="374">
        <f t="shared" si="30"/>
        <v>0.33200000000000024</v>
      </c>
      <c r="R369" s="206">
        <f t="shared" si="29"/>
        <v>0.375</v>
      </c>
    </row>
    <row r="370" spans="9:18" ht="12.75" customHeight="1">
      <c r="I370" s="476"/>
      <c r="J370" s="476"/>
      <c r="K370" s="476"/>
      <c r="L370" s="476"/>
      <c r="O370" s="340"/>
      <c r="Q370" s="374">
        <f t="shared" si="30"/>
        <v>0.33300000000000024</v>
      </c>
      <c r="R370" s="206">
        <f t="shared" si="29"/>
        <v>0.375</v>
      </c>
    </row>
    <row r="371" spans="9:18">
      <c r="I371" s="476"/>
      <c r="J371" s="476"/>
      <c r="K371" s="476"/>
      <c r="L371" s="476"/>
      <c r="O371" s="340"/>
      <c r="Q371" s="374">
        <f t="shared" si="30"/>
        <v>0.33400000000000024</v>
      </c>
      <c r="R371" s="206">
        <f t="shared" si="29"/>
        <v>0.375</v>
      </c>
    </row>
    <row r="372" spans="9:18">
      <c r="I372" s="476"/>
      <c r="J372" s="476"/>
      <c r="K372" s="476"/>
      <c r="L372" s="476"/>
      <c r="O372" s="340"/>
      <c r="Q372" s="374">
        <f t="shared" si="30"/>
        <v>0.33500000000000024</v>
      </c>
      <c r="R372" s="206">
        <f t="shared" si="29"/>
        <v>0.375</v>
      </c>
    </row>
    <row r="373" spans="9:18">
      <c r="I373" s="476"/>
      <c r="J373" s="476"/>
      <c r="K373" s="476"/>
      <c r="L373" s="476"/>
      <c r="O373" s="340"/>
      <c r="Q373" s="374">
        <f t="shared" si="30"/>
        <v>0.33600000000000024</v>
      </c>
      <c r="R373" s="206">
        <f t="shared" si="29"/>
        <v>0.375</v>
      </c>
    </row>
    <row r="374" spans="9:18" ht="14.25" customHeight="1">
      <c r="I374" s="476"/>
      <c r="J374" s="476"/>
      <c r="K374" s="476"/>
      <c r="L374" s="476"/>
      <c r="O374" s="340"/>
      <c r="Q374" s="374">
        <f t="shared" si="30"/>
        <v>0.33700000000000024</v>
      </c>
      <c r="R374" s="206">
        <f t="shared" si="29"/>
        <v>0.375</v>
      </c>
    </row>
    <row r="375" spans="9:18">
      <c r="I375" s="476"/>
      <c r="J375" s="476"/>
      <c r="K375" s="476"/>
      <c r="L375" s="476"/>
      <c r="O375" s="340"/>
      <c r="Q375" s="374">
        <f t="shared" si="30"/>
        <v>0.33800000000000024</v>
      </c>
      <c r="R375" s="206">
        <f t="shared" si="29"/>
        <v>0.375</v>
      </c>
    </row>
    <row r="376" spans="9:18" ht="12.75" customHeight="1">
      <c r="I376" s="476"/>
      <c r="J376" s="476"/>
      <c r="K376" s="476"/>
      <c r="L376" s="476"/>
      <c r="O376" s="340"/>
      <c r="Q376" s="374">
        <f t="shared" si="30"/>
        <v>0.33900000000000025</v>
      </c>
      <c r="R376" s="206">
        <f t="shared" si="29"/>
        <v>0.375</v>
      </c>
    </row>
    <row r="377" spans="9:18">
      <c r="I377" s="476"/>
      <c r="J377" s="476"/>
      <c r="K377" s="476"/>
      <c r="L377" s="476"/>
      <c r="O377" s="340"/>
      <c r="Q377" s="374">
        <f t="shared" si="30"/>
        <v>0.34000000000000025</v>
      </c>
      <c r="R377" s="206">
        <f t="shared" si="29"/>
        <v>0.375</v>
      </c>
    </row>
    <row r="378" spans="9:18">
      <c r="I378" s="476"/>
      <c r="J378" s="476"/>
      <c r="K378" s="476"/>
      <c r="L378" s="476"/>
      <c r="O378" s="340"/>
      <c r="Q378" s="374">
        <f t="shared" si="30"/>
        <v>0.34100000000000025</v>
      </c>
      <c r="R378" s="206">
        <f t="shared" si="29"/>
        <v>0.375</v>
      </c>
    </row>
    <row r="379" spans="9:18">
      <c r="I379" s="476"/>
      <c r="J379" s="476"/>
      <c r="K379" s="476"/>
      <c r="L379" s="476"/>
      <c r="O379" s="340"/>
      <c r="Q379" s="374">
        <f t="shared" si="30"/>
        <v>0.34200000000000025</v>
      </c>
      <c r="R379" s="206">
        <f t="shared" si="29"/>
        <v>0.375</v>
      </c>
    </row>
    <row r="380" spans="9:18">
      <c r="I380" s="476"/>
      <c r="J380" s="476"/>
      <c r="K380" s="476"/>
      <c r="L380" s="476"/>
      <c r="O380" s="340"/>
      <c r="Q380" s="374">
        <f t="shared" si="30"/>
        <v>0.34300000000000025</v>
      </c>
      <c r="R380" s="206">
        <f t="shared" si="29"/>
        <v>0.375</v>
      </c>
    </row>
    <row r="381" spans="9:18">
      <c r="I381" s="476"/>
      <c r="J381" s="476"/>
      <c r="K381" s="476"/>
      <c r="L381" s="476"/>
      <c r="O381" s="340"/>
      <c r="Q381" s="374">
        <f t="shared" si="30"/>
        <v>0.34400000000000025</v>
      </c>
      <c r="R381" s="206">
        <f t="shared" si="29"/>
        <v>0.375</v>
      </c>
    </row>
    <row r="382" spans="9:18">
      <c r="I382" s="476"/>
      <c r="J382" s="476"/>
      <c r="K382" s="476"/>
      <c r="L382" s="476"/>
      <c r="O382" s="340"/>
      <c r="Q382" s="374">
        <f t="shared" si="30"/>
        <v>0.34500000000000025</v>
      </c>
      <c r="R382" s="206">
        <f t="shared" ref="R382:R412" si="31">3/8</f>
        <v>0.375</v>
      </c>
    </row>
    <row r="383" spans="9:18">
      <c r="I383" s="476"/>
      <c r="J383" s="476"/>
      <c r="K383" s="476"/>
      <c r="L383" s="476"/>
      <c r="O383" s="340"/>
      <c r="Q383" s="374">
        <f t="shared" si="30"/>
        <v>0.34600000000000025</v>
      </c>
      <c r="R383" s="206">
        <f t="shared" si="31"/>
        <v>0.375</v>
      </c>
    </row>
    <row r="384" spans="9:18" ht="12.75" customHeight="1">
      <c r="I384" s="476"/>
      <c r="J384" s="476"/>
      <c r="K384" s="476"/>
      <c r="L384" s="476"/>
      <c r="O384" s="340"/>
      <c r="Q384" s="374">
        <f t="shared" si="30"/>
        <v>0.34700000000000025</v>
      </c>
      <c r="R384" s="206">
        <f t="shared" si="31"/>
        <v>0.375</v>
      </c>
    </row>
    <row r="385" spans="9:18">
      <c r="I385" s="476"/>
      <c r="J385" s="476"/>
      <c r="K385" s="476"/>
      <c r="L385" s="476"/>
      <c r="O385" s="340"/>
      <c r="Q385" s="374">
        <f t="shared" si="30"/>
        <v>0.34800000000000025</v>
      </c>
      <c r="R385" s="206">
        <f t="shared" si="31"/>
        <v>0.375</v>
      </c>
    </row>
    <row r="386" spans="9:18">
      <c r="I386" s="476"/>
      <c r="J386" s="476"/>
      <c r="K386" s="476"/>
      <c r="L386" s="476"/>
      <c r="O386" s="340"/>
      <c r="Q386" s="374">
        <f t="shared" si="30"/>
        <v>0.34900000000000025</v>
      </c>
      <c r="R386" s="206">
        <f t="shared" si="31"/>
        <v>0.375</v>
      </c>
    </row>
    <row r="387" spans="9:18">
      <c r="I387" s="476"/>
      <c r="J387" s="476"/>
      <c r="K387" s="476"/>
      <c r="L387" s="476"/>
      <c r="O387" s="340"/>
      <c r="Q387" s="374">
        <f t="shared" si="30"/>
        <v>0.35000000000000026</v>
      </c>
      <c r="R387" s="206">
        <f t="shared" si="31"/>
        <v>0.375</v>
      </c>
    </row>
    <row r="388" spans="9:18" ht="12.75" customHeight="1">
      <c r="I388" s="476"/>
      <c r="J388" s="476"/>
      <c r="K388" s="476"/>
      <c r="L388" s="476"/>
      <c r="O388" s="340"/>
      <c r="Q388" s="374">
        <f t="shared" si="30"/>
        <v>0.35100000000000026</v>
      </c>
      <c r="R388" s="206">
        <f t="shared" si="31"/>
        <v>0.375</v>
      </c>
    </row>
    <row r="389" spans="9:18">
      <c r="I389" s="476"/>
      <c r="J389" s="476"/>
      <c r="K389" s="476"/>
      <c r="L389" s="476"/>
      <c r="O389" s="340"/>
      <c r="Q389" s="374">
        <f t="shared" si="30"/>
        <v>0.35200000000000026</v>
      </c>
      <c r="R389" s="206">
        <f t="shared" si="31"/>
        <v>0.375</v>
      </c>
    </row>
    <row r="390" spans="9:18" ht="12.75" customHeight="1">
      <c r="I390" s="476"/>
      <c r="J390" s="476"/>
      <c r="K390" s="476"/>
      <c r="L390" s="476"/>
      <c r="O390" s="340"/>
      <c r="Q390" s="374">
        <f t="shared" si="30"/>
        <v>0.35300000000000026</v>
      </c>
      <c r="R390" s="206">
        <f t="shared" si="31"/>
        <v>0.375</v>
      </c>
    </row>
    <row r="391" spans="9:18">
      <c r="I391" s="476"/>
      <c r="J391" s="476"/>
      <c r="K391" s="476"/>
      <c r="L391" s="476"/>
      <c r="O391" s="340"/>
      <c r="Q391" s="374">
        <f t="shared" si="30"/>
        <v>0.35400000000000026</v>
      </c>
      <c r="R391" s="206">
        <f t="shared" si="31"/>
        <v>0.375</v>
      </c>
    </row>
    <row r="392" spans="9:18" ht="12.75" customHeight="1">
      <c r="I392" s="476"/>
      <c r="J392" s="476"/>
      <c r="K392" s="476"/>
      <c r="L392" s="476"/>
      <c r="O392" s="340"/>
      <c r="Q392" s="374">
        <f t="shared" si="30"/>
        <v>0.35500000000000026</v>
      </c>
      <c r="R392" s="206">
        <f t="shared" si="31"/>
        <v>0.375</v>
      </c>
    </row>
    <row r="393" spans="9:18" ht="12.75" customHeight="1">
      <c r="I393" s="476"/>
      <c r="J393" s="476"/>
      <c r="K393" s="476"/>
      <c r="L393" s="476"/>
      <c r="O393" s="340"/>
      <c r="Q393" s="374">
        <f t="shared" si="30"/>
        <v>0.35600000000000026</v>
      </c>
      <c r="R393" s="206">
        <f t="shared" si="31"/>
        <v>0.375</v>
      </c>
    </row>
    <row r="394" spans="9:18">
      <c r="I394" s="476"/>
      <c r="O394" s="340"/>
      <c r="Q394" s="374">
        <f t="shared" si="30"/>
        <v>0.35700000000000026</v>
      </c>
      <c r="R394" s="206">
        <f t="shared" si="31"/>
        <v>0.375</v>
      </c>
    </row>
    <row r="395" spans="9:18">
      <c r="I395" s="476"/>
      <c r="O395" s="340"/>
      <c r="Q395" s="374">
        <f t="shared" si="30"/>
        <v>0.35800000000000026</v>
      </c>
      <c r="R395" s="206">
        <f t="shared" si="31"/>
        <v>0.375</v>
      </c>
    </row>
    <row r="396" spans="9:18">
      <c r="I396" s="476"/>
      <c r="O396" s="340"/>
      <c r="Q396" s="374">
        <f t="shared" si="30"/>
        <v>0.35900000000000026</v>
      </c>
      <c r="R396" s="206">
        <f t="shared" si="31"/>
        <v>0.375</v>
      </c>
    </row>
    <row r="397" spans="9:18">
      <c r="I397" s="476"/>
      <c r="O397" s="340"/>
      <c r="Q397" s="374">
        <f t="shared" si="30"/>
        <v>0.36000000000000026</v>
      </c>
      <c r="R397" s="206">
        <f t="shared" si="31"/>
        <v>0.375</v>
      </c>
    </row>
    <row r="398" spans="9:18">
      <c r="O398" s="340"/>
      <c r="Q398" s="374">
        <f t="shared" si="30"/>
        <v>0.36100000000000027</v>
      </c>
      <c r="R398" s="206">
        <f t="shared" si="31"/>
        <v>0.375</v>
      </c>
    </row>
    <row r="399" spans="9:18">
      <c r="O399" s="340"/>
      <c r="Q399" s="374">
        <f t="shared" si="30"/>
        <v>0.36200000000000027</v>
      </c>
      <c r="R399" s="206">
        <f t="shared" si="31"/>
        <v>0.375</v>
      </c>
    </row>
    <row r="400" spans="9:18">
      <c r="O400" s="340"/>
      <c r="Q400" s="374">
        <f t="shared" si="30"/>
        <v>0.36300000000000027</v>
      </c>
      <c r="R400" s="206">
        <f t="shared" si="31"/>
        <v>0.375</v>
      </c>
    </row>
    <row r="401" spans="15:18">
      <c r="O401" s="340"/>
      <c r="Q401" s="374">
        <f t="shared" si="30"/>
        <v>0.36400000000000027</v>
      </c>
      <c r="R401" s="206">
        <f t="shared" si="31"/>
        <v>0.375</v>
      </c>
    </row>
    <row r="402" spans="15:18" ht="12.75" customHeight="1">
      <c r="O402" s="340"/>
      <c r="Q402" s="374">
        <f t="shared" si="30"/>
        <v>0.36500000000000027</v>
      </c>
      <c r="R402" s="206">
        <f t="shared" si="31"/>
        <v>0.375</v>
      </c>
    </row>
    <row r="403" spans="15:18">
      <c r="O403" s="340"/>
      <c r="Q403" s="374">
        <f t="shared" si="30"/>
        <v>0.36600000000000027</v>
      </c>
      <c r="R403" s="206">
        <f t="shared" si="31"/>
        <v>0.375</v>
      </c>
    </row>
    <row r="404" spans="15:18" ht="12.75" customHeight="1">
      <c r="O404" s="340"/>
      <c r="Q404" s="374">
        <f t="shared" si="30"/>
        <v>0.36700000000000027</v>
      </c>
      <c r="R404" s="206">
        <f t="shared" si="31"/>
        <v>0.375</v>
      </c>
    </row>
    <row r="405" spans="15:18">
      <c r="O405" s="340"/>
      <c r="Q405" s="374">
        <f t="shared" si="30"/>
        <v>0.36800000000000027</v>
      </c>
      <c r="R405" s="206">
        <f t="shared" si="31"/>
        <v>0.375</v>
      </c>
    </row>
    <row r="406" spans="15:18">
      <c r="O406" s="340"/>
      <c r="Q406" s="374">
        <f t="shared" si="30"/>
        <v>0.36900000000000027</v>
      </c>
      <c r="R406" s="206">
        <f t="shared" si="31"/>
        <v>0.375</v>
      </c>
    </row>
    <row r="407" spans="15:18" ht="12.75" customHeight="1">
      <c r="O407" s="340"/>
      <c r="Q407" s="374">
        <f t="shared" si="30"/>
        <v>0.37000000000000027</v>
      </c>
      <c r="R407" s="206">
        <f t="shared" si="31"/>
        <v>0.375</v>
      </c>
    </row>
    <row r="408" spans="15:18" ht="12.75" customHeight="1">
      <c r="O408" s="340"/>
      <c r="Q408" s="374">
        <f t="shared" si="30"/>
        <v>0.37100000000000027</v>
      </c>
      <c r="R408" s="206">
        <f t="shared" si="31"/>
        <v>0.375</v>
      </c>
    </row>
    <row r="409" spans="15:18">
      <c r="O409" s="340"/>
      <c r="Q409" s="374">
        <f t="shared" si="30"/>
        <v>0.37200000000000027</v>
      </c>
      <c r="R409" s="206">
        <f t="shared" si="31"/>
        <v>0.375</v>
      </c>
    </row>
    <row r="410" spans="15:18">
      <c r="O410" s="340"/>
      <c r="Q410" s="374">
        <f t="shared" si="30"/>
        <v>0.37300000000000028</v>
      </c>
      <c r="R410" s="206">
        <f t="shared" si="31"/>
        <v>0.375</v>
      </c>
    </row>
    <row r="411" spans="15:18" ht="12.75" customHeight="1">
      <c r="O411" s="340"/>
      <c r="Q411" s="374">
        <f t="shared" si="30"/>
        <v>0.37400000000000028</v>
      </c>
      <c r="R411" s="206">
        <f t="shared" si="31"/>
        <v>0.375</v>
      </c>
    </row>
    <row r="412" spans="15:18">
      <c r="O412" s="340"/>
      <c r="Q412" s="374">
        <f t="shared" si="30"/>
        <v>0.37500000000000028</v>
      </c>
      <c r="R412" s="206">
        <f t="shared" si="31"/>
        <v>0.375</v>
      </c>
    </row>
    <row r="413" spans="15:18">
      <c r="O413" s="340"/>
      <c r="Q413" s="374">
        <f t="shared" si="30"/>
        <v>0.37600000000000028</v>
      </c>
      <c r="R413" s="206">
        <f t="shared" ref="R413:R444" si="32">1/2</f>
        <v>0.5</v>
      </c>
    </row>
    <row r="414" spans="15:18">
      <c r="O414" s="340"/>
      <c r="Q414" s="374">
        <f t="shared" si="30"/>
        <v>0.37700000000000028</v>
      </c>
      <c r="R414" s="206">
        <f t="shared" si="32"/>
        <v>0.5</v>
      </c>
    </row>
    <row r="415" spans="15:18" ht="12.75" customHeight="1">
      <c r="O415" s="340"/>
      <c r="Q415" s="374">
        <f t="shared" si="30"/>
        <v>0.37800000000000028</v>
      </c>
      <c r="R415" s="206">
        <f t="shared" si="32"/>
        <v>0.5</v>
      </c>
    </row>
    <row r="416" spans="15:18">
      <c r="O416" s="340"/>
      <c r="Q416" s="374">
        <f t="shared" si="30"/>
        <v>0.37900000000000028</v>
      </c>
      <c r="R416" s="206">
        <f t="shared" si="32"/>
        <v>0.5</v>
      </c>
    </row>
    <row r="417" spans="15:18">
      <c r="O417" s="340"/>
      <c r="Q417" s="374">
        <f t="shared" si="30"/>
        <v>0.38000000000000028</v>
      </c>
      <c r="R417" s="206">
        <f t="shared" si="32"/>
        <v>0.5</v>
      </c>
    </row>
    <row r="418" spans="15:18" ht="12.75" customHeight="1">
      <c r="O418" s="340"/>
      <c r="Q418" s="374">
        <f t="shared" si="30"/>
        <v>0.38100000000000028</v>
      </c>
      <c r="R418" s="206">
        <f t="shared" si="32"/>
        <v>0.5</v>
      </c>
    </row>
    <row r="419" spans="15:18" ht="12.75" customHeight="1">
      <c r="O419" s="340"/>
      <c r="Q419" s="374">
        <f t="shared" si="30"/>
        <v>0.38200000000000028</v>
      </c>
      <c r="R419" s="206">
        <f t="shared" si="32"/>
        <v>0.5</v>
      </c>
    </row>
    <row r="420" spans="15:18">
      <c r="O420" s="340"/>
      <c r="Q420" s="374">
        <f t="shared" si="30"/>
        <v>0.38300000000000028</v>
      </c>
      <c r="R420" s="206">
        <f t="shared" si="32"/>
        <v>0.5</v>
      </c>
    </row>
    <row r="421" spans="15:18">
      <c r="O421" s="340"/>
      <c r="Q421" s="374">
        <f t="shared" si="30"/>
        <v>0.38400000000000029</v>
      </c>
      <c r="R421" s="206">
        <f t="shared" si="32"/>
        <v>0.5</v>
      </c>
    </row>
    <row r="422" spans="15:18" ht="14.25" customHeight="1">
      <c r="O422" s="340"/>
      <c r="Q422" s="374">
        <f t="shared" si="30"/>
        <v>0.38500000000000029</v>
      </c>
      <c r="R422" s="206">
        <f t="shared" si="32"/>
        <v>0.5</v>
      </c>
    </row>
    <row r="423" spans="15:18">
      <c r="O423" s="340"/>
      <c r="Q423" s="374">
        <f t="shared" ref="Q423:Q486" si="33">Q422+0.001</f>
        <v>0.38600000000000029</v>
      </c>
      <c r="R423" s="206">
        <f t="shared" si="32"/>
        <v>0.5</v>
      </c>
    </row>
    <row r="424" spans="15:18">
      <c r="O424" s="340"/>
      <c r="Q424" s="374">
        <f t="shared" si="33"/>
        <v>0.38700000000000029</v>
      </c>
      <c r="R424" s="206">
        <f t="shared" si="32"/>
        <v>0.5</v>
      </c>
    </row>
    <row r="425" spans="15:18" ht="12.75" customHeight="1">
      <c r="O425" s="340"/>
      <c r="Q425" s="374">
        <f t="shared" si="33"/>
        <v>0.38800000000000029</v>
      </c>
      <c r="R425" s="206">
        <f t="shared" si="32"/>
        <v>0.5</v>
      </c>
    </row>
    <row r="426" spans="15:18" ht="14.25" customHeight="1">
      <c r="O426" s="340"/>
      <c r="Q426" s="374">
        <f t="shared" si="33"/>
        <v>0.38900000000000029</v>
      </c>
      <c r="R426" s="206">
        <f t="shared" si="32"/>
        <v>0.5</v>
      </c>
    </row>
    <row r="427" spans="15:18">
      <c r="O427" s="340"/>
      <c r="Q427" s="374">
        <f t="shared" si="33"/>
        <v>0.39000000000000029</v>
      </c>
      <c r="R427" s="206">
        <f t="shared" si="32"/>
        <v>0.5</v>
      </c>
    </row>
    <row r="428" spans="15:18">
      <c r="O428" s="340"/>
      <c r="Q428" s="374">
        <f t="shared" si="33"/>
        <v>0.39100000000000029</v>
      </c>
      <c r="R428" s="206">
        <f t="shared" si="32"/>
        <v>0.5</v>
      </c>
    </row>
    <row r="429" spans="15:18">
      <c r="O429" s="340"/>
      <c r="Q429" s="374">
        <f t="shared" si="33"/>
        <v>0.39200000000000029</v>
      </c>
      <c r="R429" s="206">
        <f t="shared" si="32"/>
        <v>0.5</v>
      </c>
    </row>
    <row r="430" spans="15:18">
      <c r="O430" s="340"/>
      <c r="Q430" s="374">
        <f t="shared" si="33"/>
        <v>0.39300000000000029</v>
      </c>
      <c r="R430" s="206">
        <f t="shared" si="32"/>
        <v>0.5</v>
      </c>
    </row>
    <row r="431" spans="15:18">
      <c r="O431" s="340"/>
      <c r="Q431" s="374">
        <f t="shared" si="33"/>
        <v>0.39400000000000029</v>
      </c>
      <c r="R431" s="206">
        <f t="shared" si="32"/>
        <v>0.5</v>
      </c>
    </row>
    <row r="432" spans="15:18">
      <c r="O432" s="340"/>
      <c r="Q432" s="374">
        <f t="shared" si="33"/>
        <v>0.3950000000000003</v>
      </c>
      <c r="R432" s="206">
        <f t="shared" si="32"/>
        <v>0.5</v>
      </c>
    </row>
    <row r="433" spans="15:18">
      <c r="O433" s="340"/>
      <c r="Q433" s="374">
        <f t="shared" si="33"/>
        <v>0.3960000000000003</v>
      </c>
      <c r="R433" s="206">
        <f t="shared" si="32"/>
        <v>0.5</v>
      </c>
    </row>
    <row r="434" spans="15:18">
      <c r="O434" s="340"/>
      <c r="Q434" s="374">
        <f t="shared" si="33"/>
        <v>0.3970000000000003</v>
      </c>
      <c r="R434" s="206">
        <f t="shared" si="32"/>
        <v>0.5</v>
      </c>
    </row>
    <row r="435" spans="15:18">
      <c r="O435" s="340"/>
      <c r="Q435" s="374">
        <f t="shared" si="33"/>
        <v>0.3980000000000003</v>
      </c>
      <c r="R435" s="206">
        <f t="shared" si="32"/>
        <v>0.5</v>
      </c>
    </row>
    <row r="436" spans="15:18">
      <c r="O436" s="340"/>
      <c r="Q436" s="374">
        <f t="shared" si="33"/>
        <v>0.3990000000000003</v>
      </c>
      <c r="R436" s="206">
        <f t="shared" si="32"/>
        <v>0.5</v>
      </c>
    </row>
    <row r="437" spans="15:18">
      <c r="O437" s="340"/>
      <c r="Q437" s="374">
        <f t="shared" si="33"/>
        <v>0.4000000000000003</v>
      </c>
      <c r="R437" s="206">
        <f t="shared" si="32"/>
        <v>0.5</v>
      </c>
    </row>
    <row r="438" spans="15:18">
      <c r="O438" s="340"/>
      <c r="Q438" s="374">
        <f t="shared" si="33"/>
        <v>0.4010000000000003</v>
      </c>
      <c r="R438" s="206">
        <f t="shared" si="32"/>
        <v>0.5</v>
      </c>
    </row>
    <row r="439" spans="15:18">
      <c r="O439" s="340"/>
      <c r="Q439" s="374">
        <f t="shared" si="33"/>
        <v>0.4020000000000003</v>
      </c>
      <c r="R439" s="206">
        <f t="shared" si="32"/>
        <v>0.5</v>
      </c>
    </row>
    <row r="440" spans="15:18">
      <c r="O440" s="340"/>
      <c r="Q440" s="374">
        <f t="shared" si="33"/>
        <v>0.4030000000000003</v>
      </c>
      <c r="R440" s="206">
        <f t="shared" si="32"/>
        <v>0.5</v>
      </c>
    </row>
    <row r="441" spans="15:18">
      <c r="O441" s="340"/>
      <c r="Q441" s="374">
        <f t="shared" si="33"/>
        <v>0.4040000000000003</v>
      </c>
      <c r="R441" s="206">
        <f t="shared" si="32"/>
        <v>0.5</v>
      </c>
    </row>
    <row r="442" spans="15:18">
      <c r="O442" s="340"/>
      <c r="Q442" s="374">
        <f t="shared" si="33"/>
        <v>0.4050000000000003</v>
      </c>
      <c r="R442" s="206">
        <f t="shared" si="32"/>
        <v>0.5</v>
      </c>
    </row>
    <row r="443" spans="15:18">
      <c r="O443" s="340"/>
      <c r="Q443" s="374">
        <f t="shared" si="33"/>
        <v>0.40600000000000031</v>
      </c>
      <c r="R443" s="206">
        <f t="shared" si="32"/>
        <v>0.5</v>
      </c>
    </row>
    <row r="444" spans="15:18">
      <c r="O444" s="340"/>
      <c r="Q444" s="374">
        <f t="shared" si="33"/>
        <v>0.40700000000000031</v>
      </c>
      <c r="R444" s="206">
        <f t="shared" si="32"/>
        <v>0.5</v>
      </c>
    </row>
    <row r="445" spans="15:18">
      <c r="O445" s="340"/>
      <c r="Q445" s="374">
        <f t="shared" si="33"/>
        <v>0.40800000000000031</v>
      </c>
      <c r="R445" s="206">
        <f t="shared" ref="R445:R476" si="34">1/2</f>
        <v>0.5</v>
      </c>
    </row>
    <row r="446" spans="15:18">
      <c r="O446" s="340"/>
      <c r="Q446" s="374">
        <f t="shared" si="33"/>
        <v>0.40900000000000031</v>
      </c>
      <c r="R446" s="206">
        <f t="shared" si="34"/>
        <v>0.5</v>
      </c>
    </row>
    <row r="447" spans="15:18">
      <c r="O447" s="340"/>
      <c r="Q447" s="374">
        <f t="shared" si="33"/>
        <v>0.41000000000000031</v>
      </c>
      <c r="R447" s="206">
        <f t="shared" si="34"/>
        <v>0.5</v>
      </c>
    </row>
    <row r="448" spans="15:18">
      <c r="O448" s="340"/>
      <c r="Q448" s="374">
        <f t="shared" si="33"/>
        <v>0.41100000000000031</v>
      </c>
      <c r="R448" s="206">
        <f t="shared" si="34"/>
        <v>0.5</v>
      </c>
    </row>
    <row r="449" spans="15:18">
      <c r="O449" s="340"/>
      <c r="Q449" s="374">
        <f t="shared" si="33"/>
        <v>0.41200000000000031</v>
      </c>
      <c r="R449" s="206">
        <f t="shared" si="34"/>
        <v>0.5</v>
      </c>
    </row>
    <row r="450" spans="15:18">
      <c r="O450" s="340"/>
      <c r="Q450" s="374">
        <f t="shared" si="33"/>
        <v>0.41300000000000031</v>
      </c>
      <c r="R450" s="206">
        <f t="shared" si="34"/>
        <v>0.5</v>
      </c>
    </row>
    <row r="451" spans="15:18">
      <c r="O451" s="340"/>
      <c r="Q451" s="374">
        <f t="shared" si="33"/>
        <v>0.41400000000000031</v>
      </c>
      <c r="R451" s="206">
        <f t="shared" si="34"/>
        <v>0.5</v>
      </c>
    </row>
    <row r="452" spans="15:18">
      <c r="O452" s="340"/>
      <c r="Q452" s="374">
        <f t="shared" si="33"/>
        <v>0.41500000000000031</v>
      </c>
      <c r="R452" s="206">
        <f t="shared" si="34"/>
        <v>0.5</v>
      </c>
    </row>
    <row r="453" spans="15:18">
      <c r="O453" s="340"/>
      <c r="Q453" s="374">
        <f t="shared" si="33"/>
        <v>0.41600000000000031</v>
      </c>
      <c r="R453" s="206">
        <f t="shared" si="34"/>
        <v>0.5</v>
      </c>
    </row>
    <row r="454" spans="15:18">
      <c r="O454" s="340"/>
      <c r="Q454" s="374">
        <f t="shared" si="33"/>
        <v>0.41700000000000031</v>
      </c>
      <c r="R454" s="206">
        <f t="shared" si="34"/>
        <v>0.5</v>
      </c>
    </row>
    <row r="455" spans="15:18">
      <c r="O455" s="340"/>
      <c r="Q455" s="374">
        <f t="shared" si="33"/>
        <v>0.41800000000000032</v>
      </c>
      <c r="R455" s="206">
        <f t="shared" si="34"/>
        <v>0.5</v>
      </c>
    </row>
    <row r="456" spans="15:18">
      <c r="O456" s="340"/>
      <c r="Q456" s="374">
        <f t="shared" si="33"/>
        <v>0.41900000000000032</v>
      </c>
      <c r="R456" s="206">
        <f t="shared" si="34"/>
        <v>0.5</v>
      </c>
    </row>
    <row r="457" spans="15:18">
      <c r="O457" s="340"/>
      <c r="Q457" s="374">
        <f t="shared" si="33"/>
        <v>0.42000000000000032</v>
      </c>
      <c r="R457" s="206">
        <f t="shared" si="34"/>
        <v>0.5</v>
      </c>
    </row>
    <row r="458" spans="15:18">
      <c r="O458" s="340"/>
      <c r="Q458" s="374">
        <f t="shared" si="33"/>
        <v>0.42100000000000032</v>
      </c>
      <c r="R458" s="206">
        <f t="shared" si="34"/>
        <v>0.5</v>
      </c>
    </row>
    <row r="459" spans="15:18">
      <c r="O459" s="340"/>
      <c r="Q459" s="374">
        <f t="shared" si="33"/>
        <v>0.42200000000000032</v>
      </c>
      <c r="R459" s="206">
        <f t="shared" si="34"/>
        <v>0.5</v>
      </c>
    </row>
    <row r="460" spans="15:18">
      <c r="O460" s="340"/>
      <c r="Q460" s="374">
        <f t="shared" si="33"/>
        <v>0.42300000000000032</v>
      </c>
      <c r="R460" s="206">
        <f t="shared" si="34"/>
        <v>0.5</v>
      </c>
    </row>
    <row r="461" spans="15:18">
      <c r="O461" s="340"/>
      <c r="Q461" s="374">
        <f t="shared" si="33"/>
        <v>0.42400000000000032</v>
      </c>
      <c r="R461" s="206">
        <f t="shared" si="34"/>
        <v>0.5</v>
      </c>
    </row>
    <row r="462" spans="15:18">
      <c r="O462" s="340"/>
      <c r="Q462" s="374">
        <f t="shared" si="33"/>
        <v>0.42500000000000032</v>
      </c>
      <c r="R462" s="206">
        <f t="shared" si="34"/>
        <v>0.5</v>
      </c>
    </row>
    <row r="463" spans="15:18">
      <c r="O463" s="340"/>
      <c r="Q463" s="374">
        <f t="shared" si="33"/>
        <v>0.42600000000000032</v>
      </c>
      <c r="R463" s="206">
        <f t="shared" si="34"/>
        <v>0.5</v>
      </c>
    </row>
    <row r="464" spans="15:18">
      <c r="O464" s="340"/>
      <c r="Q464" s="374">
        <f t="shared" si="33"/>
        <v>0.42700000000000032</v>
      </c>
      <c r="R464" s="206">
        <f t="shared" si="34"/>
        <v>0.5</v>
      </c>
    </row>
    <row r="465" spans="15:18">
      <c r="O465" s="340"/>
      <c r="Q465" s="374">
        <f t="shared" si="33"/>
        <v>0.42800000000000032</v>
      </c>
      <c r="R465" s="206">
        <f t="shared" si="34"/>
        <v>0.5</v>
      </c>
    </row>
    <row r="466" spans="15:18">
      <c r="O466" s="340"/>
      <c r="Q466" s="374">
        <f t="shared" si="33"/>
        <v>0.42900000000000033</v>
      </c>
      <c r="R466" s="206">
        <f t="shared" si="34"/>
        <v>0.5</v>
      </c>
    </row>
    <row r="467" spans="15:18">
      <c r="O467" s="340"/>
      <c r="Q467" s="374">
        <f t="shared" si="33"/>
        <v>0.43000000000000033</v>
      </c>
      <c r="R467" s="206">
        <f t="shared" si="34"/>
        <v>0.5</v>
      </c>
    </row>
    <row r="468" spans="15:18">
      <c r="O468" s="340"/>
      <c r="Q468" s="374">
        <f t="shared" si="33"/>
        <v>0.43100000000000033</v>
      </c>
      <c r="R468" s="206">
        <f t="shared" si="34"/>
        <v>0.5</v>
      </c>
    </row>
    <row r="469" spans="15:18">
      <c r="O469" s="340"/>
      <c r="Q469" s="374">
        <f t="shared" si="33"/>
        <v>0.43200000000000033</v>
      </c>
      <c r="R469" s="206">
        <f t="shared" si="34"/>
        <v>0.5</v>
      </c>
    </row>
    <row r="470" spans="15:18" ht="12.75" customHeight="1">
      <c r="O470" s="340"/>
      <c r="Q470" s="374">
        <f t="shared" si="33"/>
        <v>0.43300000000000033</v>
      </c>
      <c r="R470" s="206">
        <f t="shared" si="34"/>
        <v>0.5</v>
      </c>
    </row>
    <row r="471" spans="15:18">
      <c r="O471" s="340"/>
      <c r="Q471" s="374">
        <f t="shared" si="33"/>
        <v>0.43400000000000033</v>
      </c>
      <c r="R471" s="206">
        <f t="shared" si="34"/>
        <v>0.5</v>
      </c>
    </row>
    <row r="472" spans="15:18">
      <c r="O472" s="340"/>
      <c r="Q472" s="374">
        <f t="shared" si="33"/>
        <v>0.43500000000000033</v>
      </c>
      <c r="R472" s="206">
        <f t="shared" si="34"/>
        <v>0.5</v>
      </c>
    </row>
    <row r="473" spans="15:18">
      <c r="O473" s="340"/>
      <c r="Q473" s="374">
        <f t="shared" si="33"/>
        <v>0.43600000000000033</v>
      </c>
      <c r="R473" s="206">
        <f t="shared" si="34"/>
        <v>0.5</v>
      </c>
    </row>
    <row r="474" spans="15:18">
      <c r="O474" s="340"/>
      <c r="Q474" s="374">
        <f t="shared" si="33"/>
        <v>0.43700000000000033</v>
      </c>
      <c r="R474" s="206">
        <f t="shared" si="34"/>
        <v>0.5</v>
      </c>
    </row>
    <row r="475" spans="15:18">
      <c r="O475" s="340"/>
      <c r="Q475" s="374">
        <f t="shared" si="33"/>
        <v>0.43800000000000033</v>
      </c>
      <c r="R475" s="206">
        <f t="shared" si="34"/>
        <v>0.5</v>
      </c>
    </row>
    <row r="476" spans="15:18">
      <c r="O476" s="340"/>
      <c r="Q476" s="374">
        <f t="shared" si="33"/>
        <v>0.43900000000000033</v>
      </c>
      <c r="R476" s="206">
        <f t="shared" si="34"/>
        <v>0.5</v>
      </c>
    </row>
    <row r="477" spans="15:18">
      <c r="O477" s="340"/>
      <c r="Q477" s="374">
        <f t="shared" si="33"/>
        <v>0.44000000000000034</v>
      </c>
      <c r="R477" s="206">
        <f t="shared" ref="R477:R508" si="35">1/2</f>
        <v>0.5</v>
      </c>
    </row>
    <row r="478" spans="15:18">
      <c r="O478" s="340"/>
      <c r="Q478" s="374">
        <f t="shared" si="33"/>
        <v>0.44100000000000034</v>
      </c>
      <c r="R478" s="206">
        <f t="shared" si="35"/>
        <v>0.5</v>
      </c>
    </row>
    <row r="479" spans="15:18">
      <c r="O479" s="340"/>
      <c r="Q479" s="374">
        <f t="shared" si="33"/>
        <v>0.44200000000000034</v>
      </c>
      <c r="R479" s="206">
        <f t="shared" si="35"/>
        <v>0.5</v>
      </c>
    </row>
    <row r="480" spans="15:18" ht="12.75" customHeight="1">
      <c r="O480" s="340"/>
      <c r="Q480" s="374">
        <f t="shared" si="33"/>
        <v>0.44300000000000034</v>
      </c>
      <c r="R480" s="206">
        <f t="shared" si="35"/>
        <v>0.5</v>
      </c>
    </row>
    <row r="481" spans="15:18">
      <c r="O481" s="340"/>
      <c r="Q481" s="374">
        <f t="shared" si="33"/>
        <v>0.44400000000000034</v>
      </c>
      <c r="R481" s="206">
        <f t="shared" si="35"/>
        <v>0.5</v>
      </c>
    </row>
    <row r="482" spans="15:18">
      <c r="O482" s="340"/>
      <c r="Q482" s="374">
        <f t="shared" si="33"/>
        <v>0.44500000000000034</v>
      </c>
      <c r="R482" s="206">
        <f t="shared" si="35"/>
        <v>0.5</v>
      </c>
    </row>
    <row r="483" spans="15:18" ht="12.75" customHeight="1">
      <c r="O483" s="340"/>
      <c r="Q483" s="374">
        <f t="shared" si="33"/>
        <v>0.44600000000000034</v>
      </c>
      <c r="R483" s="206">
        <f t="shared" si="35"/>
        <v>0.5</v>
      </c>
    </row>
    <row r="484" spans="15:18" ht="12.75" customHeight="1">
      <c r="O484" s="340"/>
      <c r="Q484" s="374">
        <f t="shared" si="33"/>
        <v>0.44700000000000034</v>
      </c>
      <c r="R484" s="206">
        <f t="shared" si="35"/>
        <v>0.5</v>
      </c>
    </row>
    <row r="485" spans="15:18">
      <c r="O485" s="340"/>
      <c r="Q485" s="374">
        <f t="shared" si="33"/>
        <v>0.44800000000000034</v>
      </c>
      <c r="R485" s="206">
        <f t="shared" si="35"/>
        <v>0.5</v>
      </c>
    </row>
    <row r="486" spans="15:18">
      <c r="O486" s="340"/>
      <c r="Q486" s="374">
        <f t="shared" si="33"/>
        <v>0.44900000000000034</v>
      </c>
      <c r="R486" s="206">
        <f t="shared" si="35"/>
        <v>0.5</v>
      </c>
    </row>
    <row r="487" spans="15:18">
      <c r="O487" s="340"/>
      <c r="Q487" s="374">
        <f t="shared" ref="Q487:Q550" si="36">Q486+0.001</f>
        <v>0.45000000000000034</v>
      </c>
      <c r="R487" s="206">
        <f t="shared" si="35"/>
        <v>0.5</v>
      </c>
    </row>
    <row r="488" spans="15:18">
      <c r="O488" s="340"/>
      <c r="Q488" s="374">
        <f t="shared" si="36"/>
        <v>0.45100000000000035</v>
      </c>
      <c r="R488" s="206">
        <f t="shared" si="35"/>
        <v>0.5</v>
      </c>
    </row>
    <row r="489" spans="15:18">
      <c r="O489" s="340"/>
      <c r="Q489" s="374">
        <f t="shared" si="36"/>
        <v>0.45200000000000035</v>
      </c>
      <c r="R489" s="206">
        <f t="shared" si="35"/>
        <v>0.5</v>
      </c>
    </row>
    <row r="490" spans="15:18">
      <c r="O490" s="340"/>
      <c r="Q490" s="374">
        <f t="shared" si="36"/>
        <v>0.45300000000000035</v>
      </c>
      <c r="R490" s="206">
        <f t="shared" si="35"/>
        <v>0.5</v>
      </c>
    </row>
    <row r="491" spans="15:18">
      <c r="O491" s="340"/>
      <c r="Q491" s="374">
        <f t="shared" si="36"/>
        <v>0.45400000000000035</v>
      </c>
      <c r="R491" s="206">
        <f t="shared" si="35"/>
        <v>0.5</v>
      </c>
    </row>
    <row r="492" spans="15:18">
      <c r="O492" s="340"/>
      <c r="Q492" s="374">
        <f t="shared" si="36"/>
        <v>0.45500000000000035</v>
      </c>
      <c r="R492" s="206">
        <f t="shared" si="35"/>
        <v>0.5</v>
      </c>
    </row>
    <row r="493" spans="15:18">
      <c r="O493" s="340"/>
      <c r="Q493" s="374">
        <f t="shared" si="36"/>
        <v>0.45600000000000035</v>
      </c>
      <c r="R493" s="206">
        <f t="shared" si="35"/>
        <v>0.5</v>
      </c>
    </row>
    <row r="494" spans="15:18">
      <c r="O494" s="340"/>
      <c r="Q494" s="374">
        <f t="shared" si="36"/>
        <v>0.45700000000000035</v>
      </c>
      <c r="R494" s="206">
        <f t="shared" si="35"/>
        <v>0.5</v>
      </c>
    </row>
    <row r="495" spans="15:18">
      <c r="O495" s="340"/>
      <c r="Q495" s="374">
        <f t="shared" si="36"/>
        <v>0.45800000000000035</v>
      </c>
      <c r="R495" s="206">
        <f t="shared" si="35"/>
        <v>0.5</v>
      </c>
    </row>
    <row r="496" spans="15:18">
      <c r="O496" s="340"/>
      <c r="Q496" s="374">
        <f t="shared" si="36"/>
        <v>0.45900000000000035</v>
      </c>
      <c r="R496" s="206">
        <f t="shared" si="35"/>
        <v>0.5</v>
      </c>
    </row>
    <row r="497" spans="15:18">
      <c r="O497" s="340"/>
      <c r="Q497" s="374">
        <f t="shared" si="36"/>
        <v>0.46000000000000035</v>
      </c>
      <c r="R497" s="206">
        <f t="shared" si="35"/>
        <v>0.5</v>
      </c>
    </row>
    <row r="498" spans="15:18">
      <c r="O498" s="340"/>
      <c r="Q498" s="374">
        <f t="shared" si="36"/>
        <v>0.46100000000000035</v>
      </c>
      <c r="R498" s="206">
        <f t="shared" si="35"/>
        <v>0.5</v>
      </c>
    </row>
    <row r="499" spans="15:18">
      <c r="O499" s="340"/>
      <c r="Q499" s="374">
        <f t="shared" si="36"/>
        <v>0.46200000000000035</v>
      </c>
      <c r="R499" s="206">
        <f t="shared" si="35"/>
        <v>0.5</v>
      </c>
    </row>
    <row r="500" spans="15:18">
      <c r="O500" s="340"/>
      <c r="Q500" s="374">
        <f t="shared" si="36"/>
        <v>0.46300000000000036</v>
      </c>
      <c r="R500" s="206">
        <f t="shared" si="35"/>
        <v>0.5</v>
      </c>
    </row>
    <row r="501" spans="15:18">
      <c r="O501" s="340"/>
      <c r="Q501" s="374">
        <f t="shared" si="36"/>
        <v>0.46400000000000036</v>
      </c>
      <c r="R501" s="206">
        <f t="shared" si="35"/>
        <v>0.5</v>
      </c>
    </row>
    <row r="502" spans="15:18">
      <c r="O502" s="340"/>
      <c r="Q502" s="374">
        <f t="shared" si="36"/>
        <v>0.46500000000000036</v>
      </c>
      <c r="R502" s="206">
        <f t="shared" si="35"/>
        <v>0.5</v>
      </c>
    </row>
    <row r="503" spans="15:18">
      <c r="O503" s="340"/>
      <c r="Q503" s="374">
        <f t="shared" si="36"/>
        <v>0.46600000000000036</v>
      </c>
      <c r="R503" s="206">
        <f t="shared" si="35"/>
        <v>0.5</v>
      </c>
    </row>
    <row r="504" spans="15:18">
      <c r="O504" s="340"/>
      <c r="Q504" s="374">
        <f t="shared" si="36"/>
        <v>0.46700000000000036</v>
      </c>
      <c r="R504" s="206">
        <f t="shared" si="35"/>
        <v>0.5</v>
      </c>
    </row>
    <row r="505" spans="15:18">
      <c r="O505" s="340"/>
      <c r="Q505" s="374">
        <f t="shared" si="36"/>
        <v>0.46800000000000036</v>
      </c>
      <c r="R505" s="206">
        <f t="shared" si="35"/>
        <v>0.5</v>
      </c>
    </row>
    <row r="506" spans="15:18">
      <c r="O506" s="340"/>
      <c r="Q506" s="374">
        <f t="shared" si="36"/>
        <v>0.46900000000000036</v>
      </c>
      <c r="R506" s="206">
        <f t="shared" si="35"/>
        <v>0.5</v>
      </c>
    </row>
    <row r="507" spans="15:18">
      <c r="O507" s="340"/>
      <c r="Q507" s="374">
        <f t="shared" si="36"/>
        <v>0.47000000000000036</v>
      </c>
      <c r="R507" s="206">
        <f t="shared" si="35"/>
        <v>0.5</v>
      </c>
    </row>
    <row r="508" spans="15:18">
      <c r="O508" s="340"/>
      <c r="Q508" s="374">
        <f t="shared" si="36"/>
        <v>0.47100000000000036</v>
      </c>
      <c r="R508" s="206">
        <f t="shared" si="35"/>
        <v>0.5</v>
      </c>
    </row>
    <row r="509" spans="15:18">
      <c r="O509" s="340"/>
      <c r="Q509" s="374">
        <f t="shared" si="36"/>
        <v>0.47200000000000036</v>
      </c>
      <c r="R509" s="206">
        <f t="shared" ref="R509:R537" si="37">1/2</f>
        <v>0.5</v>
      </c>
    </row>
    <row r="510" spans="15:18">
      <c r="O510" s="340"/>
      <c r="Q510" s="374">
        <f t="shared" si="36"/>
        <v>0.47300000000000036</v>
      </c>
      <c r="R510" s="206">
        <f t="shared" si="37"/>
        <v>0.5</v>
      </c>
    </row>
    <row r="511" spans="15:18">
      <c r="O511" s="340"/>
      <c r="Q511" s="374">
        <f t="shared" si="36"/>
        <v>0.47400000000000037</v>
      </c>
      <c r="R511" s="206">
        <f t="shared" si="37"/>
        <v>0.5</v>
      </c>
    </row>
    <row r="512" spans="15:18">
      <c r="O512" s="340"/>
      <c r="Q512" s="374">
        <f t="shared" si="36"/>
        <v>0.47500000000000037</v>
      </c>
      <c r="R512" s="206">
        <f t="shared" si="37"/>
        <v>0.5</v>
      </c>
    </row>
    <row r="513" spans="15:18">
      <c r="O513" s="340"/>
      <c r="Q513" s="374">
        <f t="shared" si="36"/>
        <v>0.47600000000000037</v>
      </c>
      <c r="R513" s="206">
        <f t="shared" si="37"/>
        <v>0.5</v>
      </c>
    </row>
    <row r="514" spans="15:18">
      <c r="O514" s="340"/>
      <c r="Q514" s="374">
        <f t="shared" si="36"/>
        <v>0.47700000000000037</v>
      </c>
      <c r="R514" s="206">
        <f t="shared" si="37"/>
        <v>0.5</v>
      </c>
    </row>
    <row r="515" spans="15:18">
      <c r="O515" s="340"/>
      <c r="Q515" s="374">
        <f t="shared" si="36"/>
        <v>0.47800000000000037</v>
      </c>
      <c r="R515" s="206">
        <f t="shared" si="37"/>
        <v>0.5</v>
      </c>
    </row>
    <row r="516" spans="15:18">
      <c r="O516" s="340"/>
      <c r="Q516" s="374">
        <f t="shared" si="36"/>
        <v>0.47900000000000037</v>
      </c>
      <c r="R516" s="206">
        <f t="shared" si="37"/>
        <v>0.5</v>
      </c>
    </row>
    <row r="517" spans="15:18">
      <c r="O517" s="340"/>
      <c r="Q517" s="374">
        <f t="shared" si="36"/>
        <v>0.48000000000000037</v>
      </c>
      <c r="R517" s="206">
        <f t="shared" si="37"/>
        <v>0.5</v>
      </c>
    </row>
    <row r="518" spans="15:18">
      <c r="O518" s="340"/>
      <c r="Q518" s="374">
        <f t="shared" si="36"/>
        <v>0.48100000000000037</v>
      </c>
      <c r="R518" s="206">
        <f t="shared" si="37"/>
        <v>0.5</v>
      </c>
    </row>
    <row r="519" spans="15:18">
      <c r="O519" s="340"/>
      <c r="Q519" s="374">
        <f t="shared" si="36"/>
        <v>0.48200000000000037</v>
      </c>
      <c r="R519" s="206">
        <f t="shared" si="37"/>
        <v>0.5</v>
      </c>
    </row>
    <row r="520" spans="15:18">
      <c r="O520" s="340"/>
      <c r="Q520" s="374">
        <f t="shared" si="36"/>
        <v>0.48300000000000037</v>
      </c>
      <c r="R520" s="206">
        <f t="shared" si="37"/>
        <v>0.5</v>
      </c>
    </row>
    <row r="521" spans="15:18">
      <c r="O521" s="340"/>
      <c r="Q521" s="374">
        <f t="shared" si="36"/>
        <v>0.48400000000000037</v>
      </c>
      <c r="R521" s="206">
        <f t="shared" si="37"/>
        <v>0.5</v>
      </c>
    </row>
    <row r="522" spans="15:18">
      <c r="O522" s="340"/>
      <c r="Q522" s="374">
        <f t="shared" si="36"/>
        <v>0.48500000000000038</v>
      </c>
      <c r="R522" s="206">
        <f t="shared" si="37"/>
        <v>0.5</v>
      </c>
    </row>
    <row r="523" spans="15:18">
      <c r="O523" s="340"/>
      <c r="Q523" s="374">
        <f t="shared" si="36"/>
        <v>0.48600000000000038</v>
      </c>
      <c r="R523" s="206">
        <f t="shared" si="37"/>
        <v>0.5</v>
      </c>
    </row>
    <row r="524" spans="15:18">
      <c r="O524" s="340"/>
      <c r="Q524" s="374">
        <f t="shared" si="36"/>
        <v>0.48700000000000038</v>
      </c>
      <c r="R524" s="206">
        <f t="shared" si="37"/>
        <v>0.5</v>
      </c>
    </row>
    <row r="525" spans="15:18">
      <c r="O525" s="340"/>
      <c r="Q525" s="374">
        <f t="shared" si="36"/>
        <v>0.48800000000000038</v>
      </c>
      <c r="R525" s="206">
        <f t="shared" si="37"/>
        <v>0.5</v>
      </c>
    </row>
    <row r="526" spans="15:18">
      <c r="O526" s="340"/>
      <c r="Q526" s="374">
        <f t="shared" si="36"/>
        <v>0.48900000000000038</v>
      </c>
      <c r="R526" s="206">
        <f t="shared" si="37"/>
        <v>0.5</v>
      </c>
    </row>
    <row r="527" spans="15:18">
      <c r="O527" s="340"/>
      <c r="Q527" s="374">
        <f t="shared" si="36"/>
        <v>0.49000000000000038</v>
      </c>
      <c r="R527" s="206">
        <f t="shared" si="37"/>
        <v>0.5</v>
      </c>
    </row>
    <row r="528" spans="15:18">
      <c r="O528" s="340"/>
      <c r="Q528" s="374">
        <f t="shared" si="36"/>
        <v>0.49100000000000038</v>
      </c>
      <c r="R528" s="206">
        <f t="shared" si="37"/>
        <v>0.5</v>
      </c>
    </row>
    <row r="529" spans="15:18">
      <c r="O529" s="340"/>
      <c r="Q529" s="374">
        <f t="shared" si="36"/>
        <v>0.49200000000000038</v>
      </c>
      <c r="R529" s="206">
        <f t="shared" si="37"/>
        <v>0.5</v>
      </c>
    </row>
    <row r="530" spans="15:18">
      <c r="O530" s="340"/>
      <c r="Q530" s="374">
        <f t="shared" si="36"/>
        <v>0.49300000000000038</v>
      </c>
      <c r="R530" s="206">
        <f t="shared" si="37"/>
        <v>0.5</v>
      </c>
    </row>
    <row r="531" spans="15:18">
      <c r="O531" s="340"/>
      <c r="Q531" s="374">
        <f t="shared" si="36"/>
        <v>0.49400000000000038</v>
      </c>
      <c r="R531" s="206">
        <f t="shared" si="37"/>
        <v>0.5</v>
      </c>
    </row>
    <row r="532" spans="15:18">
      <c r="O532" s="340"/>
      <c r="Q532" s="374">
        <f t="shared" si="36"/>
        <v>0.49500000000000038</v>
      </c>
      <c r="R532" s="206">
        <f t="shared" si="37"/>
        <v>0.5</v>
      </c>
    </row>
    <row r="533" spans="15:18">
      <c r="O533" s="340"/>
      <c r="Q533" s="374">
        <f t="shared" si="36"/>
        <v>0.49600000000000039</v>
      </c>
      <c r="R533" s="206">
        <f t="shared" si="37"/>
        <v>0.5</v>
      </c>
    </row>
    <row r="534" spans="15:18">
      <c r="O534" s="340"/>
      <c r="Q534" s="374">
        <f t="shared" si="36"/>
        <v>0.49700000000000039</v>
      </c>
      <c r="R534" s="206">
        <f t="shared" si="37"/>
        <v>0.5</v>
      </c>
    </row>
    <row r="535" spans="15:18">
      <c r="O535" s="340"/>
      <c r="Q535" s="374">
        <f t="shared" si="36"/>
        <v>0.49800000000000039</v>
      </c>
      <c r="R535" s="206">
        <f t="shared" si="37"/>
        <v>0.5</v>
      </c>
    </row>
    <row r="536" spans="15:18">
      <c r="O536" s="340"/>
      <c r="Q536" s="374">
        <f t="shared" si="36"/>
        <v>0.49900000000000039</v>
      </c>
      <c r="R536" s="206">
        <f t="shared" si="37"/>
        <v>0.5</v>
      </c>
    </row>
    <row r="537" spans="15:18">
      <c r="O537" s="340"/>
      <c r="Q537" s="374">
        <f t="shared" si="36"/>
        <v>0.50000000000000033</v>
      </c>
      <c r="R537" s="206">
        <f t="shared" si="37"/>
        <v>0.5</v>
      </c>
    </row>
    <row r="538" spans="15:18">
      <c r="O538" s="340"/>
      <c r="Q538" s="374">
        <f t="shared" si="36"/>
        <v>0.50100000000000033</v>
      </c>
      <c r="R538" s="206">
        <f t="shared" ref="R538:R569" si="38">5/8</f>
        <v>0.625</v>
      </c>
    </row>
    <row r="539" spans="15:18">
      <c r="O539" s="340"/>
      <c r="Q539" s="374">
        <f t="shared" si="36"/>
        <v>0.50200000000000033</v>
      </c>
      <c r="R539" s="206">
        <f t="shared" si="38"/>
        <v>0.625</v>
      </c>
    </row>
    <row r="540" spans="15:18">
      <c r="O540" s="340"/>
      <c r="Q540" s="374">
        <f t="shared" si="36"/>
        <v>0.50300000000000034</v>
      </c>
      <c r="R540" s="206">
        <f t="shared" si="38"/>
        <v>0.625</v>
      </c>
    </row>
    <row r="541" spans="15:18">
      <c r="O541" s="340"/>
      <c r="Q541" s="374">
        <f t="shared" si="36"/>
        <v>0.50400000000000034</v>
      </c>
      <c r="R541" s="206">
        <f t="shared" si="38"/>
        <v>0.625</v>
      </c>
    </row>
    <row r="542" spans="15:18">
      <c r="O542" s="340"/>
      <c r="Q542" s="374">
        <f t="shared" si="36"/>
        <v>0.50500000000000034</v>
      </c>
      <c r="R542" s="206">
        <f t="shared" si="38"/>
        <v>0.625</v>
      </c>
    </row>
    <row r="543" spans="15:18">
      <c r="O543" s="340"/>
      <c r="Q543" s="374">
        <f t="shared" si="36"/>
        <v>0.50600000000000034</v>
      </c>
      <c r="R543" s="206">
        <f t="shared" si="38"/>
        <v>0.625</v>
      </c>
    </row>
    <row r="544" spans="15:18">
      <c r="O544" s="340"/>
      <c r="Q544" s="374">
        <f t="shared" si="36"/>
        <v>0.50700000000000034</v>
      </c>
      <c r="R544" s="206">
        <f t="shared" si="38"/>
        <v>0.625</v>
      </c>
    </row>
    <row r="545" spans="15:18">
      <c r="O545" s="340"/>
      <c r="Q545" s="374">
        <f t="shared" si="36"/>
        <v>0.50800000000000034</v>
      </c>
      <c r="R545" s="206">
        <f t="shared" si="38"/>
        <v>0.625</v>
      </c>
    </row>
    <row r="546" spans="15:18">
      <c r="O546" s="340"/>
      <c r="Q546" s="374">
        <f t="shared" si="36"/>
        <v>0.50900000000000034</v>
      </c>
      <c r="R546" s="206">
        <f t="shared" si="38"/>
        <v>0.625</v>
      </c>
    </row>
    <row r="547" spans="15:18">
      <c r="O547" s="340"/>
      <c r="Q547" s="374">
        <f t="shared" si="36"/>
        <v>0.51000000000000034</v>
      </c>
      <c r="R547" s="206">
        <f t="shared" si="38"/>
        <v>0.625</v>
      </c>
    </row>
    <row r="548" spans="15:18">
      <c r="O548" s="340"/>
      <c r="Q548" s="374">
        <f t="shared" si="36"/>
        <v>0.51100000000000034</v>
      </c>
      <c r="R548" s="206">
        <f t="shared" si="38"/>
        <v>0.625</v>
      </c>
    </row>
    <row r="549" spans="15:18">
      <c r="O549" s="340"/>
      <c r="Q549" s="374">
        <f t="shared" si="36"/>
        <v>0.51200000000000034</v>
      </c>
      <c r="R549" s="206">
        <f t="shared" si="38"/>
        <v>0.625</v>
      </c>
    </row>
    <row r="550" spans="15:18">
      <c r="O550" s="340"/>
      <c r="Q550" s="374">
        <f t="shared" si="36"/>
        <v>0.51300000000000034</v>
      </c>
      <c r="R550" s="206">
        <f t="shared" si="38"/>
        <v>0.625</v>
      </c>
    </row>
    <row r="551" spans="15:18">
      <c r="O551" s="340"/>
      <c r="Q551" s="374">
        <f t="shared" ref="Q551:Q614" si="39">Q550+0.001</f>
        <v>0.51400000000000035</v>
      </c>
      <c r="R551" s="206">
        <f t="shared" si="38"/>
        <v>0.625</v>
      </c>
    </row>
    <row r="552" spans="15:18">
      <c r="O552" s="340"/>
      <c r="Q552" s="374">
        <f t="shared" si="39"/>
        <v>0.51500000000000035</v>
      </c>
      <c r="R552" s="206">
        <f t="shared" si="38"/>
        <v>0.625</v>
      </c>
    </row>
    <row r="553" spans="15:18">
      <c r="O553" s="340"/>
      <c r="Q553" s="374">
        <f t="shared" si="39"/>
        <v>0.51600000000000035</v>
      </c>
      <c r="R553" s="206">
        <f t="shared" si="38"/>
        <v>0.625</v>
      </c>
    </row>
    <row r="554" spans="15:18">
      <c r="O554" s="340"/>
      <c r="Q554" s="374">
        <f t="shared" si="39"/>
        <v>0.51700000000000035</v>
      </c>
      <c r="R554" s="206">
        <f t="shared" si="38"/>
        <v>0.625</v>
      </c>
    </row>
    <row r="555" spans="15:18">
      <c r="O555" s="340"/>
      <c r="Q555" s="374">
        <f t="shared" si="39"/>
        <v>0.51800000000000035</v>
      </c>
      <c r="R555" s="206">
        <f t="shared" si="38"/>
        <v>0.625</v>
      </c>
    </row>
    <row r="556" spans="15:18">
      <c r="O556" s="340"/>
      <c r="Q556" s="374">
        <f t="shared" si="39"/>
        <v>0.51900000000000035</v>
      </c>
      <c r="R556" s="206">
        <f t="shared" si="38"/>
        <v>0.625</v>
      </c>
    </row>
    <row r="557" spans="15:18">
      <c r="O557" s="340"/>
      <c r="Q557" s="374">
        <f t="shared" si="39"/>
        <v>0.52000000000000035</v>
      </c>
      <c r="R557" s="206">
        <f t="shared" si="38"/>
        <v>0.625</v>
      </c>
    </row>
    <row r="558" spans="15:18">
      <c r="O558" s="340"/>
      <c r="Q558" s="374">
        <f t="shared" si="39"/>
        <v>0.52100000000000035</v>
      </c>
      <c r="R558" s="206">
        <f t="shared" si="38"/>
        <v>0.625</v>
      </c>
    </row>
    <row r="559" spans="15:18">
      <c r="O559" s="340"/>
      <c r="Q559" s="374">
        <f t="shared" si="39"/>
        <v>0.52200000000000035</v>
      </c>
      <c r="R559" s="206">
        <f t="shared" si="38"/>
        <v>0.625</v>
      </c>
    </row>
    <row r="560" spans="15:18">
      <c r="O560" s="340"/>
      <c r="Q560" s="374">
        <f t="shared" si="39"/>
        <v>0.52300000000000035</v>
      </c>
      <c r="R560" s="206">
        <f t="shared" si="38"/>
        <v>0.625</v>
      </c>
    </row>
    <row r="561" spans="15:18">
      <c r="O561" s="340"/>
      <c r="Q561" s="374">
        <f t="shared" si="39"/>
        <v>0.52400000000000035</v>
      </c>
      <c r="R561" s="206">
        <f t="shared" si="38"/>
        <v>0.625</v>
      </c>
    </row>
    <row r="562" spans="15:18">
      <c r="O562" s="340"/>
      <c r="Q562" s="374">
        <f t="shared" si="39"/>
        <v>0.52500000000000036</v>
      </c>
      <c r="R562" s="206">
        <f t="shared" si="38"/>
        <v>0.625</v>
      </c>
    </row>
    <row r="563" spans="15:18">
      <c r="O563" s="340"/>
      <c r="Q563" s="374">
        <f t="shared" si="39"/>
        <v>0.52600000000000036</v>
      </c>
      <c r="R563" s="206">
        <f t="shared" si="38"/>
        <v>0.625</v>
      </c>
    </row>
    <row r="564" spans="15:18">
      <c r="O564" s="340"/>
      <c r="Q564" s="374">
        <f t="shared" si="39"/>
        <v>0.52700000000000036</v>
      </c>
      <c r="R564" s="206">
        <f t="shared" si="38"/>
        <v>0.625</v>
      </c>
    </row>
    <row r="565" spans="15:18">
      <c r="O565" s="340"/>
      <c r="Q565" s="374">
        <f t="shared" si="39"/>
        <v>0.52800000000000036</v>
      </c>
      <c r="R565" s="206">
        <f t="shared" si="38"/>
        <v>0.625</v>
      </c>
    </row>
    <row r="566" spans="15:18">
      <c r="O566" s="340"/>
      <c r="Q566" s="374">
        <f t="shared" si="39"/>
        <v>0.52900000000000036</v>
      </c>
      <c r="R566" s="206">
        <f t="shared" si="38"/>
        <v>0.625</v>
      </c>
    </row>
    <row r="567" spans="15:18">
      <c r="O567" s="340"/>
      <c r="Q567" s="374">
        <f t="shared" si="39"/>
        <v>0.53000000000000036</v>
      </c>
      <c r="R567" s="206">
        <f t="shared" si="38"/>
        <v>0.625</v>
      </c>
    </row>
    <row r="568" spans="15:18">
      <c r="O568" s="340"/>
      <c r="Q568" s="374">
        <f t="shared" si="39"/>
        <v>0.53100000000000036</v>
      </c>
      <c r="R568" s="206">
        <f t="shared" si="38"/>
        <v>0.625</v>
      </c>
    </row>
    <row r="569" spans="15:18">
      <c r="O569" s="340"/>
      <c r="Q569" s="374">
        <f t="shared" si="39"/>
        <v>0.53200000000000036</v>
      </c>
      <c r="R569" s="206">
        <f t="shared" si="38"/>
        <v>0.625</v>
      </c>
    </row>
    <row r="570" spans="15:18">
      <c r="O570" s="340"/>
      <c r="Q570" s="374">
        <f t="shared" si="39"/>
        <v>0.53300000000000036</v>
      </c>
      <c r="R570" s="206">
        <f t="shared" ref="R570:R601" si="40">5/8</f>
        <v>0.625</v>
      </c>
    </row>
    <row r="571" spans="15:18">
      <c r="O571" s="340"/>
      <c r="Q571" s="374">
        <f t="shared" si="39"/>
        <v>0.53400000000000036</v>
      </c>
      <c r="R571" s="206">
        <f t="shared" si="40"/>
        <v>0.625</v>
      </c>
    </row>
    <row r="572" spans="15:18">
      <c r="O572" s="340"/>
      <c r="Q572" s="374">
        <f t="shared" si="39"/>
        <v>0.53500000000000036</v>
      </c>
      <c r="R572" s="206">
        <f t="shared" si="40"/>
        <v>0.625</v>
      </c>
    </row>
    <row r="573" spans="15:18">
      <c r="O573" s="340"/>
      <c r="Q573" s="374">
        <f t="shared" si="39"/>
        <v>0.53600000000000037</v>
      </c>
      <c r="R573" s="206">
        <f t="shared" si="40"/>
        <v>0.625</v>
      </c>
    </row>
    <row r="574" spans="15:18">
      <c r="O574" s="340"/>
      <c r="Q574" s="374">
        <f t="shared" si="39"/>
        <v>0.53700000000000037</v>
      </c>
      <c r="R574" s="206">
        <f t="shared" si="40"/>
        <v>0.625</v>
      </c>
    </row>
    <row r="575" spans="15:18">
      <c r="O575" s="340"/>
      <c r="Q575" s="374">
        <f t="shared" si="39"/>
        <v>0.53800000000000037</v>
      </c>
      <c r="R575" s="206">
        <f t="shared" si="40"/>
        <v>0.625</v>
      </c>
    </row>
    <row r="576" spans="15:18">
      <c r="O576" s="340"/>
      <c r="Q576" s="374">
        <f t="shared" si="39"/>
        <v>0.53900000000000037</v>
      </c>
      <c r="R576" s="206">
        <f t="shared" si="40"/>
        <v>0.625</v>
      </c>
    </row>
    <row r="577" spans="15:18">
      <c r="O577" s="340"/>
      <c r="Q577" s="374">
        <f t="shared" si="39"/>
        <v>0.54000000000000037</v>
      </c>
      <c r="R577" s="206">
        <f t="shared" si="40"/>
        <v>0.625</v>
      </c>
    </row>
    <row r="578" spans="15:18">
      <c r="O578" s="340"/>
      <c r="Q578" s="374">
        <f t="shared" si="39"/>
        <v>0.54100000000000037</v>
      </c>
      <c r="R578" s="206">
        <f t="shared" si="40"/>
        <v>0.625</v>
      </c>
    </row>
    <row r="579" spans="15:18">
      <c r="O579" s="340"/>
      <c r="Q579" s="374">
        <f t="shared" si="39"/>
        <v>0.54200000000000037</v>
      </c>
      <c r="R579" s="206">
        <f t="shared" si="40"/>
        <v>0.625</v>
      </c>
    </row>
    <row r="580" spans="15:18">
      <c r="O580" s="340"/>
      <c r="Q580" s="374">
        <f t="shared" si="39"/>
        <v>0.54300000000000037</v>
      </c>
      <c r="R580" s="206">
        <f t="shared" si="40"/>
        <v>0.625</v>
      </c>
    </row>
    <row r="581" spans="15:18">
      <c r="O581" s="340"/>
      <c r="Q581" s="374">
        <f t="shared" si="39"/>
        <v>0.54400000000000037</v>
      </c>
      <c r="R581" s="206">
        <f t="shared" si="40"/>
        <v>0.625</v>
      </c>
    </row>
    <row r="582" spans="15:18">
      <c r="O582" s="340"/>
      <c r="Q582" s="374">
        <f t="shared" si="39"/>
        <v>0.54500000000000037</v>
      </c>
      <c r="R582" s="206">
        <f t="shared" si="40"/>
        <v>0.625</v>
      </c>
    </row>
    <row r="583" spans="15:18">
      <c r="O583" s="340"/>
      <c r="Q583" s="374">
        <f t="shared" si="39"/>
        <v>0.54600000000000037</v>
      </c>
      <c r="R583" s="206">
        <f t="shared" si="40"/>
        <v>0.625</v>
      </c>
    </row>
    <row r="584" spans="15:18">
      <c r="O584" s="340"/>
      <c r="Q584" s="374">
        <f t="shared" si="39"/>
        <v>0.54700000000000037</v>
      </c>
      <c r="R584" s="206">
        <f t="shared" si="40"/>
        <v>0.625</v>
      </c>
    </row>
    <row r="585" spans="15:18">
      <c r="O585" s="340"/>
      <c r="Q585" s="374">
        <f t="shared" si="39"/>
        <v>0.54800000000000038</v>
      </c>
      <c r="R585" s="206">
        <f t="shared" si="40"/>
        <v>0.625</v>
      </c>
    </row>
    <row r="586" spans="15:18">
      <c r="O586" s="340"/>
      <c r="Q586" s="374">
        <f t="shared" si="39"/>
        <v>0.54900000000000038</v>
      </c>
      <c r="R586" s="206">
        <f t="shared" si="40"/>
        <v>0.625</v>
      </c>
    </row>
    <row r="587" spans="15:18">
      <c r="O587" s="340"/>
      <c r="Q587" s="374">
        <f t="shared" si="39"/>
        <v>0.55000000000000038</v>
      </c>
      <c r="R587" s="206">
        <f t="shared" si="40"/>
        <v>0.625</v>
      </c>
    </row>
    <row r="588" spans="15:18">
      <c r="O588" s="340"/>
      <c r="Q588" s="374">
        <f t="shared" si="39"/>
        <v>0.55100000000000038</v>
      </c>
      <c r="R588" s="206">
        <f t="shared" si="40"/>
        <v>0.625</v>
      </c>
    </row>
    <row r="589" spans="15:18">
      <c r="O589" s="340"/>
      <c r="Q589" s="374">
        <f t="shared" si="39"/>
        <v>0.55200000000000038</v>
      </c>
      <c r="R589" s="206">
        <f t="shared" si="40"/>
        <v>0.625</v>
      </c>
    </row>
    <row r="590" spans="15:18">
      <c r="O590" s="340"/>
      <c r="Q590" s="374">
        <f t="shared" si="39"/>
        <v>0.55300000000000038</v>
      </c>
      <c r="R590" s="206">
        <f t="shared" si="40"/>
        <v>0.625</v>
      </c>
    </row>
    <row r="591" spans="15:18">
      <c r="O591" s="340"/>
      <c r="Q591" s="374">
        <f t="shared" si="39"/>
        <v>0.55400000000000038</v>
      </c>
      <c r="R591" s="206">
        <f t="shared" si="40"/>
        <v>0.625</v>
      </c>
    </row>
    <row r="592" spans="15:18">
      <c r="O592" s="340"/>
      <c r="Q592" s="374">
        <f t="shared" si="39"/>
        <v>0.55500000000000038</v>
      </c>
      <c r="R592" s="206">
        <f t="shared" si="40"/>
        <v>0.625</v>
      </c>
    </row>
    <row r="593" spans="15:18">
      <c r="O593" s="340"/>
      <c r="Q593" s="374">
        <f t="shared" si="39"/>
        <v>0.55600000000000038</v>
      </c>
      <c r="R593" s="206">
        <f t="shared" si="40"/>
        <v>0.625</v>
      </c>
    </row>
    <row r="594" spans="15:18">
      <c r="O594" s="340"/>
      <c r="Q594" s="374">
        <f t="shared" si="39"/>
        <v>0.55700000000000038</v>
      </c>
      <c r="R594" s="206">
        <f t="shared" si="40"/>
        <v>0.625</v>
      </c>
    </row>
    <row r="595" spans="15:18">
      <c r="O595" s="340"/>
      <c r="Q595" s="374">
        <f t="shared" si="39"/>
        <v>0.55800000000000038</v>
      </c>
      <c r="R595" s="206">
        <f t="shared" si="40"/>
        <v>0.625</v>
      </c>
    </row>
    <row r="596" spans="15:18">
      <c r="O596" s="340"/>
      <c r="Q596" s="374">
        <f t="shared" si="39"/>
        <v>0.55900000000000039</v>
      </c>
      <c r="R596" s="206">
        <f t="shared" si="40"/>
        <v>0.625</v>
      </c>
    </row>
    <row r="597" spans="15:18">
      <c r="O597" s="340"/>
      <c r="Q597" s="374">
        <f t="shared" si="39"/>
        <v>0.56000000000000039</v>
      </c>
      <c r="R597" s="206">
        <f t="shared" si="40"/>
        <v>0.625</v>
      </c>
    </row>
    <row r="598" spans="15:18">
      <c r="O598" s="340"/>
      <c r="Q598" s="374">
        <f t="shared" si="39"/>
        <v>0.56100000000000039</v>
      </c>
      <c r="R598" s="206">
        <f t="shared" si="40"/>
        <v>0.625</v>
      </c>
    </row>
    <row r="599" spans="15:18">
      <c r="O599" s="340"/>
      <c r="Q599" s="374">
        <f t="shared" si="39"/>
        <v>0.56200000000000039</v>
      </c>
      <c r="R599" s="206">
        <f t="shared" si="40"/>
        <v>0.625</v>
      </c>
    </row>
    <row r="600" spans="15:18">
      <c r="O600" s="340"/>
      <c r="Q600" s="374">
        <f t="shared" si="39"/>
        <v>0.56300000000000039</v>
      </c>
      <c r="R600" s="206">
        <f t="shared" si="40"/>
        <v>0.625</v>
      </c>
    </row>
    <row r="601" spans="15:18">
      <c r="O601" s="340"/>
      <c r="Q601" s="374">
        <f t="shared" si="39"/>
        <v>0.56400000000000039</v>
      </c>
      <c r="R601" s="206">
        <f t="shared" si="40"/>
        <v>0.625</v>
      </c>
    </row>
    <row r="602" spans="15:18">
      <c r="O602" s="340"/>
      <c r="Q602" s="374">
        <f t="shared" si="39"/>
        <v>0.56500000000000039</v>
      </c>
      <c r="R602" s="206">
        <f t="shared" ref="R602:R633" si="41">5/8</f>
        <v>0.625</v>
      </c>
    </row>
    <row r="603" spans="15:18">
      <c r="O603" s="340"/>
      <c r="Q603" s="374">
        <f t="shared" si="39"/>
        <v>0.56600000000000039</v>
      </c>
      <c r="R603" s="206">
        <f t="shared" si="41"/>
        <v>0.625</v>
      </c>
    </row>
    <row r="604" spans="15:18">
      <c r="O604" s="340"/>
      <c r="Q604" s="374">
        <f t="shared" si="39"/>
        <v>0.56700000000000039</v>
      </c>
      <c r="R604" s="206">
        <f t="shared" si="41"/>
        <v>0.625</v>
      </c>
    </row>
    <row r="605" spans="15:18">
      <c r="O605" s="340"/>
      <c r="Q605" s="374">
        <f t="shared" si="39"/>
        <v>0.56800000000000039</v>
      </c>
      <c r="R605" s="206">
        <f t="shared" si="41"/>
        <v>0.625</v>
      </c>
    </row>
    <row r="606" spans="15:18">
      <c r="O606" s="340"/>
      <c r="Q606" s="374">
        <f t="shared" si="39"/>
        <v>0.56900000000000039</v>
      </c>
      <c r="R606" s="206">
        <f t="shared" si="41"/>
        <v>0.625</v>
      </c>
    </row>
    <row r="607" spans="15:18">
      <c r="O607" s="340"/>
      <c r="Q607" s="374">
        <f t="shared" si="39"/>
        <v>0.5700000000000004</v>
      </c>
      <c r="R607" s="206">
        <f t="shared" si="41"/>
        <v>0.625</v>
      </c>
    </row>
    <row r="608" spans="15:18">
      <c r="O608" s="340"/>
      <c r="Q608" s="374">
        <f t="shared" si="39"/>
        <v>0.5710000000000004</v>
      </c>
      <c r="R608" s="206">
        <f t="shared" si="41"/>
        <v>0.625</v>
      </c>
    </row>
    <row r="609" spans="15:18">
      <c r="O609" s="340"/>
      <c r="Q609" s="374">
        <f t="shared" si="39"/>
        <v>0.5720000000000004</v>
      </c>
      <c r="R609" s="206">
        <f t="shared" si="41"/>
        <v>0.625</v>
      </c>
    </row>
    <row r="610" spans="15:18">
      <c r="O610" s="340"/>
      <c r="Q610" s="374">
        <f t="shared" si="39"/>
        <v>0.5730000000000004</v>
      </c>
      <c r="R610" s="206">
        <f t="shared" si="41"/>
        <v>0.625</v>
      </c>
    </row>
    <row r="611" spans="15:18">
      <c r="O611" s="340"/>
      <c r="Q611" s="374">
        <f t="shared" si="39"/>
        <v>0.5740000000000004</v>
      </c>
      <c r="R611" s="206">
        <f t="shared" si="41"/>
        <v>0.625</v>
      </c>
    </row>
    <row r="612" spans="15:18">
      <c r="O612" s="340"/>
      <c r="Q612" s="374">
        <f t="shared" si="39"/>
        <v>0.5750000000000004</v>
      </c>
      <c r="R612" s="206">
        <f t="shared" si="41"/>
        <v>0.625</v>
      </c>
    </row>
    <row r="613" spans="15:18">
      <c r="O613" s="340"/>
      <c r="Q613" s="374">
        <f t="shared" si="39"/>
        <v>0.5760000000000004</v>
      </c>
      <c r="R613" s="206">
        <f t="shared" si="41"/>
        <v>0.625</v>
      </c>
    </row>
    <row r="614" spans="15:18">
      <c r="O614" s="340"/>
      <c r="Q614" s="374">
        <f t="shared" si="39"/>
        <v>0.5770000000000004</v>
      </c>
      <c r="R614" s="206">
        <f t="shared" si="41"/>
        <v>0.625</v>
      </c>
    </row>
    <row r="615" spans="15:18">
      <c r="O615" s="340"/>
      <c r="Q615" s="374">
        <f t="shared" ref="Q615:Q678" si="42">Q614+0.001</f>
        <v>0.5780000000000004</v>
      </c>
      <c r="R615" s="206">
        <f t="shared" si="41"/>
        <v>0.625</v>
      </c>
    </row>
    <row r="616" spans="15:18">
      <c r="O616" s="340"/>
      <c r="Q616" s="374">
        <f t="shared" si="42"/>
        <v>0.5790000000000004</v>
      </c>
      <c r="R616" s="206">
        <f t="shared" si="41"/>
        <v>0.625</v>
      </c>
    </row>
    <row r="617" spans="15:18">
      <c r="O617" s="340"/>
      <c r="Q617" s="374">
        <f t="shared" si="42"/>
        <v>0.5800000000000004</v>
      </c>
      <c r="R617" s="206">
        <f t="shared" si="41"/>
        <v>0.625</v>
      </c>
    </row>
    <row r="618" spans="15:18">
      <c r="O618" s="340"/>
      <c r="Q618" s="374">
        <f t="shared" si="42"/>
        <v>0.58100000000000041</v>
      </c>
      <c r="R618" s="206">
        <f t="shared" si="41"/>
        <v>0.625</v>
      </c>
    </row>
    <row r="619" spans="15:18">
      <c r="O619" s="340"/>
      <c r="Q619" s="374">
        <f t="shared" si="42"/>
        <v>0.58200000000000041</v>
      </c>
      <c r="R619" s="206">
        <f t="shared" si="41"/>
        <v>0.625</v>
      </c>
    </row>
    <row r="620" spans="15:18">
      <c r="O620" s="340"/>
      <c r="Q620" s="374">
        <f t="shared" si="42"/>
        <v>0.58300000000000041</v>
      </c>
      <c r="R620" s="206">
        <f t="shared" si="41"/>
        <v>0.625</v>
      </c>
    </row>
    <row r="621" spans="15:18">
      <c r="O621" s="340"/>
      <c r="Q621" s="374">
        <f t="shared" si="42"/>
        <v>0.58400000000000041</v>
      </c>
      <c r="R621" s="206">
        <f t="shared" si="41"/>
        <v>0.625</v>
      </c>
    </row>
    <row r="622" spans="15:18">
      <c r="O622" s="340"/>
      <c r="Q622" s="374">
        <f t="shared" si="42"/>
        <v>0.58500000000000041</v>
      </c>
      <c r="R622" s="206">
        <f t="shared" si="41"/>
        <v>0.625</v>
      </c>
    </row>
    <row r="623" spans="15:18">
      <c r="O623" s="340"/>
      <c r="Q623" s="374">
        <f t="shared" si="42"/>
        <v>0.58600000000000041</v>
      </c>
      <c r="R623" s="206">
        <f t="shared" si="41"/>
        <v>0.625</v>
      </c>
    </row>
    <row r="624" spans="15:18">
      <c r="O624" s="340"/>
      <c r="Q624" s="374">
        <f t="shared" si="42"/>
        <v>0.58700000000000041</v>
      </c>
      <c r="R624" s="206">
        <f t="shared" si="41"/>
        <v>0.625</v>
      </c>
    </row>
    <row r="625" spans="15:18">
      <c r="O625" s="340"/>
      <c r="Q625" s="374">
        <f t="shared" si="42"/>
        <v>0.58800000000000041</v>
      </c>
      <c r="R625" s="206">
        <f t="shared" si="41"/>
        <v>0.625</v>
      </c>
    </row>
    <row r="626" spans="15:18">
      <c r="O626" s="340"/>
      <c r="Q626" s="374">
        <f t="shared" si="42"/>
        <v>0.58900000000000041</v>
      </c>
      <c r="R626" s="206">
        <f t="shared" si="41"/>
        <v>0.625</v>
      </c>
    </row>
    <row r="627" spans="15:18">
      <c r="O627" s="340"/>
      <c r="Q627" s="374">
        <f t="shared" si="42"/>
        <v>0.59000000000000041</v>
      </c>
      <c r="R627" s="206">
        <f t="shared" si="41"/>
        <v>0.625</v>
      </c>
    </row>
    <row r="628" spans="15:18">
      <c r="O628" s="340"/>
      <c r="Q628" s="374">
        <f t="shared" si="42"/>
        <v>0.59100000000000041</v>
      </c>
      <c r="R628" s="206">
        <f t="shared" si="41"/>
        <v>0.625</v>
      </c>
    </row>
    <row r="629" spans="15:18">
      <c r="O629" s="340"/>
      <c r="Q629" s="374">
        <f t="shared" si="42"/>
        <v>0.59200000000000041</v>
      </c>
      <c r="R629" s="206">
        <f t="shared" si="41"/>
        <v>0.625</v>
      </c>
    </row>
    <row r="630" spans="15:18">
      <c r="O630" s="340"/>
      <c r="Q630" s="374">
        <f t="shared" si="42"/>
        <v>0.59300000000000042</v>
      </c>
      <c r="R630" s="206">
        <f t="shared" si="41"/>
        <v>0.625</v>
      </c>
    </row>
    <row r="631" spans="15:18">
      <c r="O631" s="340"/>
      <c r="Q631" s="374">
        <f t="shared" si="42"/>
        <v>0.59400000000000042</v>
      </c>
      <c r="R631" s="206">
        <f t="shared" si="41"/>
        <v>0.625</v>
      </c>
    </row>
    <row r="632" spans="15:18">
      <c r="O632" s="340"/>
      <c r="Q632" s="374">
        <f t="shared" si="42"/>
        <v>0.59500000000000042</v>
      </c>
      <c r="R632" s="206">
        <f t="shared" si="41"/>
        <v>0.625</v>
      </c>
    </row>
    <row r="633" spans="15:18">
      <c r="O633" s="340"/>
      <c r="Q633" s="374">
        <f t="shared" si="42"/>
        <v>0.59600000000000042</v>
      </c>
      <c r="R633" s="206">
        <f t="shared" si="41"/>
        <v>0.625</v>
      </c>
    </row>
    <row r="634" spans="15:18">
      <c r="O634" s="340"/>
      <c r="Q634" s="374">
        <f t="shared" si="42"/>
        <v>0.59700000000000042</v>
      </c>
      <c r="R634" s="206">
        <f t="shared" ref="R634:R662" si="43">5/8</f>
        <v>0.625</v>
      </c>
    </row>
    <row r="635" spans="15:18">
      <c r="O635" s="340"/>
      <c r="Q635" s="374">
        <f t="shared" si="42"/>
        <v>0.59800000000000042</v>
      </c>
      <c r="R635" s="206">
        <f t="shared" si="43"/>
        <v>0.625</v>
      </c>
    </row>
    <row r="636" spans="15:18">
      <c r="O636" s="340"/>
      <c r="Q636" s="374">
        <f t="shared" si="42"/>
        <v>0.59900000000000042</v>
      </c>
      <c r="R636" s="206">
        <f t="shared" si="43"/>
        <v>0.625</v>
      </c>
    </row>
    <row r="637" spans="15:18">
      <c r="O637" s="340"/>
      <c r="Q637" s="374">
        <f t="shared" si="42"/>
        <v>0.60000000000000042</v>
      </c>
      <c r="R637" s="206">
        <f t="shared" si="43"/>
        <v>0.625</v>
      </c>
    </row>
    <row r="638" spans="15:18">
      <c r="O638" s="340"/>
      <c r="Q638" s="374">
        <f t="shared" si="42"/>
        <v>0.60100000000000042</v>
      </c>
      <c r="R638" s="206">
        <f t="shared" si="43"/>
        <v>0.625</v>
      </c>
    </row>
    <row r="639" spans="15:18">
      <c r="O639" s="340"/>
      <c r="Q639" s="374">
        <f t="shared" si="42"/>
        <v>0.60200000000000042</v>
      </c>
      <c r="R639" s="206">
        <f t="shared" si="43"/>
        <v>0.625</v>
      </c>
    </row>
    <row r="640" spans="15:18">
      <c r="O640" s="340"/>
      <c r="Q640" s="374">
        <f t="shared" si="42"/>
        <v>0.60300000000000042</v>
      </c>
      <c r="R640" s="206">
        <f t="shared" si="43"/>
        <v>0.625</v>
      </c>
    </row>
    <row r="641" spans="15:18">
      <c r="O641" s="340"/>
      <c r="Q641" s="374">
        <f t="shared" si="42"/>
        <v>0.60400000000000043</v>
      </c>
      <c r="R641" s="206">
        <f t="shared" si="43"/>
        <v>0.625</v>
      </c>
    </row>
    <row r="642" spans="15:18">
      <c r="O642" s="340"/>
      <c r="Q642" s="374">
        <f t="shared" si="42"/>
        <v>0.60500000000000043</v>
      </c>
      <c r="R642" s="206">
        <f t="shared" si="43"/>
        <v>0.625</v>
      </c>
    </row>
    <row r="643" spans="15:18">
      <c r="O643" s="340"/>
      <c r="Q643" s="374">
        <f t="shared" si="42"/>
        <v>0.60600000000000043</v>
      </c>
      <c r="R643" s="206">
        <f t="shared" si="43"/>
        <v>0.625</v>
      </c>
    </row>
    <row r="644" spans="15:18">
      <c r="O644" s="340"/>
      <c r="Q644" s="374">
        <f t="shared" si="42"/>
        <v>0.60700000000000043</v>
      </c>
      <c r="R644" s="206">
        <f t="shared" si="43"/>
        <v>0.625</v>
      </c>
    </row>
    <row r="645" spans="15:18">
      <c r="O645" s="340"/>
      <c r="Q645" s="374">
        <f t="shared" si="42"/>
        <v>0.60800000000000043</v>
      </c>
      <c r="R645" s="206">
        <f t="shared" si="43"/>
        <v>0.625</v>
      </c>
    </row>
    <row r="646" spans="15:18">
      <c r="O646" s="340"/>
      <c r="Q646" s="374">
        <f t="shared" si="42"/>
        <v>0.60900000000000043</v>
      </c>
      <c r="R646" s="206">
        <f t="shared" si="43"/>
        <v>0.625</v>
      </c>
    </row>
    <row r="647" spans="15:18">
      <c r="O647" s="340"/>
      <c r="Q647" s="374">
        <f t="shared" si="42"/>
        <v>0.61000000000000043</v>
      </c>
      <c r="R647" s="206">
        <f t="shared" si="43"/>
        <v>0.625</v>
      </c>
    </row>
    <row r="648" spans="15:18">
      <c r="O648" s="340"/>
      <c r="Q648" s="374">
        <f t="shared" si="42"/>
        <v>0.61100000000000043</v>
      </c>
      <c r="R648" s="206">
        <f t="shared" si="43"/>
        <v>0.625</v>
      </c>
    </row>
    <row r="649" spans="15:18">
      <c r="O649" s="340"/>
      <c r="Q649" s="374">
        <f t="shared" si="42"/>
        <v>0.61200000000000043</v>
      </c>
      <c r="R649" s="206">
        <f t="shared" si="43"/>
        <v>0.625</v>
      </c>
    </row>
    <row r="650" spans="15:18">
      <c r="O650" s="340"/>
      <c r="Q650" s="374">
        <f t="shared" si="42"/>
        <v>0.61300000000000043</v>
      </c>
      <c r="R650" s="206">
        <f t="shared" si="43"/>
        <v>0.625</v>
      </c>
    </row>
    <row r="651" spans="15:18">
      <c r="O651" s="340"/>
      <c r="Q651" s="374">
        <f t="shared" si="42"/>
        <v>0.61400000000000043</v>
      </c>
      <c r="R651" s="206">
        <f t="shared" si="43"/>
        <v>0.625</v>
      </c>
    </row>
    <row r="652" spans="15:18">
      <c r="O652" s="340"/>
      <c r="Q652" s="374">
        <f t="shared" si="42"/>
        <v>0.61500000000000044</v>
      </c>
      <c r="R652" s="206">
        <f t="shared" si="43"/>
        <v>0.625</v>
      </c>
    </row>
    <row r="653" spans="15:18">
      <c r="O653" s="340"/>
      <c r="Q653" s="374">
        <f t="shared" si="42"/>
        <v>0.61600000000000044</v>
      </c>
      <c r="R653" s="206">
        <f t="shared" si="43"/>
        <v>0.625</v>
      </c>
    </row>
    <row r="654" spans="15:18">
      <c r="O654" s="340"/>
      <c r="Q654" s="374">
        <f t="shared" si="42"/>
        <v>0.61700000000000044</v>
      </c>
      <c r="R654" s="206">
        <f t="shared" si="43"/>
        <v>0.625</v>
      </c>
    </row>
    <row r="655" spans="15:18">
      <c r="O655" s="340"/>
      <c r="Q655" s="374">
        <f t="shared" si="42"/>
        <v>0.61800000000000044</v>
      </c>
      <c r="R655" s="206">
        <f t="shared" si="43"/>
        <v>0.625</v>
      </c>
    </row>
    <row r="656" spans="15:18">
      <c r="O656" s="340"/>
      <c r="Q656" s="374">
        <f t="shared" si="42"/>
        <v>0.61900000000000044</v>
      </c>
      <c r="R656" s="206">
        <f t="shared" si="43"/>
        <v>0.625</v>
      </c>
    </row>
    <row r="657" spans="15:18">
      <c r="O657" s="340"/>
      <c r="Q657" s="374">
        <f t="shared" si="42"/>
        <v>0.62000000000000044</v>
      </c>
      <c r="R657" s="206">
        <f t="shared" si="43"/>
        <v>0.625</v>
      </c>
    </row>
    <row r="658" spans="15:18">
      <c r="O658" s="340"/>
      <c r="Q658" s="374">
        <f t="shared" si="42"/>
        <v>0.62100000000000044</v>
      </c>
      <c r="R658" s="206">
        <f t="shared" si="43"/>
        <v>0.625</v>
      </c>
    </row>
    <row r="659" spans="15:18">
      <c r="O659" s="340"/>
      <c r="Q659" s="374">
        <f t="shared" si="42"/>
        <v>0.62200000000000044</v>
      </c>
      <c r="R659" s="206">
        <f t="shared" si="43"/>
        <v>0.625</v>
      </c>
    </row>
    <row r="660" spans="15:18">
      <c r="O660" s="340"/>
      <c r="Q660" s="374">
        <f t="shared" si="42"/>
        <v>0.62300000000000044</v>
      </c>
      <c r="R660" s="206">
        <f t="shared" si="43"/>
        <v>0.625</v>
      </c>
    </row>
    <row r="661" spans="15:18">
      <c r="O661" s="340"/>
      <c r="Q661" s="374">
        <f t="shared" si="42"/>
        <v>0.62400000000000044</v>
      </c>
      <c r="R661" s="206">
        <f t="shared" si="43"/>
        <v>0.625</v>
      </c>
    </row>
    <row r="662" spans="15:18">
      <c r="O662" s="340"/>
      <c r="Q662" s="374">
        <f t="shared" si="42"/>
        <v>0.62500000000000044</v>
      </c>
      <c r="R662" s="206">
        <f t="shared" si="43"/>
        <v>0.625</v>
      </c>
    </row>
    <row r="663" spans="15:18">
      <c r="O663" s="340"/>
      <c r="Q663" s="374">
        <f t="shared" si="42"/>
        <v>0.62600000000000044</v>
      </c>
      <c r="R663" s="206">
        <f t="shared" ref="R663:R694" si="44">3/4</f>
        <v>0.75</v>
      </c>
    </row>
    <row r="664" spans="15:18">
      <c r="O664" s="340"/>
      <c r="Q664" s="374">
        <f t="shared" si="42"/>
        <v>0.62700000000000045</v>
      </c>
      <c r="R664" s="206">
        <f t="shared" si="44"/>
        <v>0.75</v>
      </c>
    </row>
    <row r="665" spans="15:18">
      <c r="O665" s="340"/>
      <c r="Q665" s="374">
        <f t="shared" si="42"/>
        <v>0.62800000000000045</v>
      </c>
      <c r="R665" s="206">
        <f t="shared" si="44"/>
        <v>0.75</v>
      </c>
    </row>
    <row r="666" spans="15:18">
      <c r="O666" s="340"/>
      <c r="Q666" s="374">
        <f t="shared" si="42"/>
        <v>0.62900000000000045</v>
      </c>
      <c r="R666" s="206">
        <f t="shared" si="44"/>
        <v>0.75</v>
      </c>
    </row>
    <row r="667" spans="15:18">
      <c r="O667" s="340"/>
      <c r="Q667" s="374">
        <f t="shared" si="42"/>
        <v>0.63000000000000045</v>
      </c>
      <c r="R667" s="206">
        <f t="shared" si="44"/>
        <v>0.75</v>
      </c>
    </row>
    <row r="668" spans="15:18">
      <c r="O668" s="340"/>
      <c r="Q668" s="374">
        <f t="shared" si="42"/>
        <v>0.63100000000000045</v>
      </c>
      <c r="R668" s="206">
        <f t="shared" si="44"/>
        <v>0.75</v>
      </c>
    </row>
    <row r="669" spans="15:18">
      <c r="O669" s="340"/>
      <c r="Q669" s="374">
        <f t="shared" si="42"/>
        <v>0.63200000000000045</v>
      </c>
      <c r="R669" s="206">
        <f t="shared" si="44"/>
        <v>0.75</v>
      </c>
    </row>
    <row r="670" spans="15:18">
      <c r="O670" s="340"/>
      <c r="Q670" s="374">
        <f t="shared" si="42"/>
        <v>0.63300000000000045</v>
      </c>
      <c r="R670" s="206">
        <f t="shared" si="44"/>
        <v>0.75</v>
      </c>
    </row>
    <row r="671" spans="15:18">
      <c r="O671" s="340"/>
      <c r="Q671" s="374">
        <f t="shared" si="42"/>
        <v>0.63400000000000045</v>
      </c>
      <c r="R671" s="206">
        <f t="shared" si="44"/>
        <v>0.75</v>
      </c>
    </row>
    <row r="672" spans="15:18">
      <c r="O672" s="340"/>
      <c r="Q672" s="374">
        <f t="shared" si="42"/>
        <v>0.63500000000000045</v>
      </c>
      <c r="R672" s="206">
        <f t="shared" si="44"/>
        <v>0.75</v>
      </c>
    </row>
    <row r="673" spans="15:18">
      <c r="O673" s="340"/>
      <c r="Q673" s="374">
        <f t="shared" si="42"/>
        <v>0.63600000000000045</v>
      </c>
      <c r="R673" s="206">
        <f t="shared" si="44"/>
        <v>0.75</v>
      </c>
    </row>
    <row r="674" spans="15:18">
      <c r="O674" s="340"/>
      <c r="Q674" s="374">
        <f t="shared" si="42"/>
        <v>0.63700000000000045</v>
      </c>
      <c r="R674" s="206">
        <f t="shared" si="44"/>
        <v>0.75</v>
      </c>
    </row>
    <row r="675" spans="15:18">
      <c r="O675" s="340"/>
      <c r="Q675" s="374">
        <f t="shared" si="42"/>
        <v>0.63800000000000046</v>
      </c>
      <c r="R675" s="206">
        <f t="shared" si="44"/>
        <v>0.75</v>
      </c>
    </row>
    <row r="676" spans="15:18">
      <c r="O676" s="340"/>
      <c r="Q676" s="374">
        <f t="shared" si="42"/>
        <v>0.63900000000000046</v>
      </c>
      <c r="R676" s="206">
        <f t="shared" si="44"/>
        <v>0.75</v>
      </c>
    </row>
    <row r="677" spans="15:18">
      <c r="O677" s="340"/>
      <c r="Q677" s="374">
        <f t="shared" si="42"/>
        <v>0.64000000000000046</v>
      </c>
      <c r="R677" s="206">
        <f t="shared" si="44"/>
        <v>0.75</v>
      </c>
    </row>
    <row r="678" spans="15:18">
      <c r="O678" s="340"/>
      <c r="Q678" s="374">
        <f t="shared" si="42"/>
        <v>0.64100000000000046</v>
      </c>
      <c r="R678" s="206">
        <f t="shared" si="44"/>
        <v>0.75</v>
      </c>
    </row>
    <row r="679" spans="15:18">
      <c r="O679" s="340"/>
      <c r="Q679" s="374">
        <f t="shared" ref="Q679:Q742" si="45">Q678+0.001</f>
        <v>0.64200000000000046</v>
      </c>
      <c r="R679" s="206">
        <f t="shared" si="44"/>
        <v>0.75</v>
      </c>
    </row>
    <row r="680" spans="15:18">
      <c r="O680" s="340"/>
      <c r="Q680" s="374">
        <f t="shared" si="45"/>
        <v>0.64300000000000046</v>
      </c>
      <c r="R680" s="206">
        <f t="shared" si="44"/>
        <v>0.75</v>
      </c>
    </row>
    <row r="681" spans="15:18">
      <c r="O681" s="340"/>
      <c r="Q681" s="374">
        <f t="shared" si="45"/>
        <v>0.64400000000000046</v>
      </c>
      <c r="R681" s="206">
        <f t="shared" si="44"/>
        <v>0.75</v>
      </c>
    </row>
    <row r="682" spans="15:18">
      <c r="O682" s="340"/>
      <c r="Q682" s="374">
        <f t="shared" si="45"/>
        <v>0.64500000000000046</v>
      </c>
      <c r="R682" s="206">
        <f t="shared" si="44"/>
        <v>0.75</v>
      </c>
    </row>
    <row r="683" spans="15:18">
      <c r="O683" s="340"/>
      <c r="Q683" s="374">
        <f t="shared" si="45"/>
        <v>0.64600000000000046</v>
      </c>
      <c r="R683" s="206">
        <f t="shared" si="44"/>
        <v>0.75</v>
      </c>
    </row>
    <row r="684" spans="15:18">
      <c r="Q684" s="374">
        <f t="shared" si="45"/>
        <v>0.64700000000000046</v>
      </c>
      <c r="R684" s="206">
        <f t="shared" si="44"/>
        <v>0.75</v>
      </c>
    </row>
    <row r="685" spans="15:18">
      <c r="Q685" s="374">
        <f t="shared" si="45"/>
        <v>0.64800000000000046</v>
      </c>
      <c r="R685" s="206">
        <f t="shared" si="44"/>
        <v>0.75</v>
      </c>
    </row>
    <row r="686" spans="15:18">
      <c r="Q686" s="374">
        <f t="shared" si="45"/>
        <v>0.64900000000000047</v>
      </c>
      <c r="R686" s="206">
        <f t="shared" si="44"/>
        <v>0.75</v>
      </c>
    </row>
    <row r="687" spans="15:18">
      <c r="Q687" s="374">
        <f t="shared" si="45"/>
        <v>0.65000000000000047</v>
      </c>
      <c r="R687" s="206">
        <f t="shared" si="44"/>
        <v>0.75</v>
      </c>
    </row>
    <row r="688" spans="15:18">
      <c r="Q688" s="374">
        <f t="shared" si="45"/>
        <v>0.65100000000000047</v>
      </c>
      <c r="R688" s="206">
        <f t="shared" si="44"/>
        <v>0.75</v>
      </c>
    </row>
    <row r="689" spans="17:18">
      <c r="Q689" s="374">
        <f t="shared" si="45"/>
        <v>0.65200000000000047</v>
      </c>
      <c r="R689" s="206">
        <f t="shared" si="44"/>
        <v>0.75</v>
      </c>
    </row>
    <row r="690" spans="17:18">
      <c r="Q690" s="374">
        <f t="shared" si="45"/>
        <v>0.65300000000000047</v>
      </c>
      <c r="R690" s="206">
        <f t="shared" si="44"/>
        <v>0.75</v>
      </c>
    </row>
    <row r="691" spans="17:18">
      <c r="Q691" s="374">
        <f t="shared" si="45"/>
        <v>0.65400000000000047</v>
      </c>
      <c r="R691" s="206">
        <f t="shared" si="44"/>
        <v>0.75</v>
      </c>
    </row>
    <row r="692" spans="17:18">
      <c r="Q692" s="374">
        <f t="shared" si="45"/>
        <v>0.65500000000000047</v>
      </c>
      <c r="R692" s="206">
        <f t="shared" si="44"/>
        <v>0.75</v>
      </c>
    </row>
    <row r="693" spans="17:18">
      <c r="Q693" s="374">
        <f t="shared" si="45"/>
        <v>0.65600000000000047</v>
      </c>
      <c r="R693" s="206">
        <f t="shared" si="44"/>
        <v>0.75</v>
      </c>
    </row>
    <row r="694" spans="17:18">
      <c r="Q694" s="374">
        <f t="shared" si="45"/>
        <v>0.65700000000000047</v>
      </c>
      <c r="R694" s="206">
        <f t="shared" si="44"/>
        <v>0.75</v>
      </c>
    </row>
    <row r="695" spans="17:18">
      <c r="Q695" s="374">
        <f t="shared" si="45"/>
        <v>0.65800000000000047</v>
      </c>
      <c r="R695" s="206">
        <f t="shared" ref="R695:R726" si="46">3/4</f>
        <v>0.75</v>
      </c>
    </row>
    <row r="696" spans="17:18">
      <c r="Q696" s="374">
        <f t="shared" si="45"/>
        <v>0.65900000000000047</v>
      </c>
      <c r="R696" s="206">
        <f t="shared" si="46"/>
        <v>0.75</v>
      </c>
    </row>
    <row r="697" spans="17:18">
      <c r="Q697" s="374">
        <f t="shared" si="45"/>
        <v>0.66000000000000048</v>
      </c>
      <c r="R697" s="206">
        <f t="shared" si="46"/>
        <v>0.75</v>
      </c>
    </row>
    <row r="698" spans="17:18">
      <c r="Q698" s="374">
        <f t="shared" si="45"/>
        <v>0.66100000000000048</v>
      </c>
      <c r="R698" s="206">
        <f t="shared" si="46"/>
        <v>0.75</v>
      </c>
    </row>
    <row r="699" spans="17:18">
      <c r="Q699" s="374">
        <f t="shared" si="45"/>
        <v>0.66200000000000048</v>
      </c>
      <c r="R699" s="206">
        <f t="shared" si="46"/>
        <v>0.75</v>
      </c>
    </row>
    <row r="700" spans="17:18">
      <c r="Q700" s="374">
        <f t="shared" si="45"/>
        <v>0.66300000000000048</v>
      </c>
      <c r="R700" s="206">
        <f t="shared" si="46"/>
        <v>0.75</v>
      </c>
    </row>
    <row r="701" spans="17:18">
      <c r="Q701" s="374">
        <f t="shared" si="45"/>
        <v>0.66400000000000048</v>
      </c>
      <c r="R701" s="206">
        <f t="shared" si="46"/>
        <v>0.75</v>
      </c>
    </row>
    <row r="702" spans="17:18">
      <c r="Q702" s="374">
        <f t="shared" si="45"/>
        <v>0.66500000000000048</v>
      </c>
      <c r="R702" s="206">
        <f t="shared" si="46"/>
        <v>0.75</v>
      </c>
    </row>
    <row r="703" spans="17:18">
      <c r="Q703" s="374">
        <f t="shared" si="45"/>
        <v>0.66600000000000048</v>
      </c>
      <c r="R703" s="206">
        <f t="shared" si="46"/>
        <v>0.75</v>
      </c>
    </row>
    <row r="704" spans="17:18">
      <c r="Q704" s="374">
        <f t="shared" si="45"/>
        <v>0.66700000000000048</v>
      </c>
      <c r="R704" s="206">
        <f t="shared" si="46"/>
        <v>0.75</v>
      </c>
    </row>
    <row r="705" spans="17:18">
      <c r="Q705" s="374">
        <f t="shared" si="45"/>
        <v>0.66800000000000048</v>
      </c>
      <c r="R705" s="206">
        <f t="shared" si="46"/>
        <v>0.75</v>
      </c>
    </row>
    <row r="706" spans="17:18">
      <c r="Q706" s="374">
        <f t="shared" si="45"/>
        <v>0.66900000000000048</v>
      </c>
      <c r="R706" s="206">
        <f t="shared" si="46"/>
        <v>0.75</v>
      </c>
    </row>
    <row r="707" spans="17:18">
      <c r="Q707" s="374">
        <f t="shared" si="45"/>
        <v>0.67000000000000048</v>
      </c>
      <c r="R707" s="206">
        <f t="shared" si="46"/>
        <v>0.75</v>
      </c>
    </row>
    <row r="708" spans="17:18">
      <c r="Q708" s="374">
        <f t="shared" si="45"/>
        <v>0.67100000000000048</v>
      </c>
      <c r="R708" s="206">
        <f t="shared" si="46"/>
        <v>0.75</v>
      </c>
    </row>
    <row r="709" spans="17:18">
      <c r="Q709" s="374">
        <f t="shared" si="45"/>
        <v>0.67200000000000049</v>
      </c>
      <c r="R709" s="206">
        <f t="shared" si="46"/>
        <v>0.75</v>
      </c>
    </row>
    <row r="710" spans="17:18">
      <c r="Q710" s="374">
        <f t="shared" si="45"/>
        <v>0.67300000000000049</v>
      </c>
      <c r="R710" s="206">
        <f t="shared" si="46"/>
        <v>0.75</v>
      </c>
    </row>
    <row r="711" spans="17:18">
      <c r="Q711" s="374">
        <f t="shared" si="45"/>
        <v>0.67400000000000049</v>
      </c>
      <c r="R711" s="206">
        <f t="shared" si="46"/>
        <v>0.75</v>
      </c>
    </row>
    <row r="712" spans="17:18">
      <c r="Q712" s="374">
        <f t="shared" si="45"/>
        <v>0.67500000000000049</v>
      </c>
      <c r="R712" s="206">
        <f t="shared" si="46"/>
        <v>0.75</v>
      </c>
    </row>
    <row r="713" spans="17:18">
      <c r="Q713" s="374">
        <f t="shared" si="45"/>
        <v>0.67600000000000049</v>
      </c>
      <c r="R713" s="206">
        <f t="shared" si="46"/>
        <v>0.75</v>
      </c>
    </row>
    <row r="714" spans="17:18">
      <c r="Q714" s="374">
        <f t="shared" si="45"/>
        <v>0.67700000000000049</v>
      </c>
      <c r="R714" s="206">
        <f t="shared" si="46"/>
        <v>0.75</v>
      </c>
    </row>
    <row r="715" spans="17:18">
      <c r="Q715" s="374">
        <f t="shared" si="45"/>
        <v>0.67800000000000049</v>
      </c>
      <c r="R715" s="206">
        <f t="shared" si="46"/>
        <v>0.75</v>
      </c>
    </row>
    <row r="716" spans="17:18">
      <c r="Q716" s="374">
        <f t="shared" si="45"/>
        <v>0.67900000000000049</v>
      </c>
      <c r="R716" s="206">
        <f t="shared" si="46"/>
        <v>0.75</v>
      </c>
    </row>
    <row r="717" spans="17:18">
      <c r="Q717" s="374">
        <f t="shared" si="45"/>
        <v>0.68000000000000049</v>
      </c>
      <c r="R717" s="206">
        <f t="shared" si="46"/>
        <v>0.75</v>
      </c>
    </row>
    <row r="718" spans="17:18">
      <c r="Q718" s="374">
        <f t="shared" si="45"/>
        <v>0.68100000000000049</v>
      </c>
      <c r="R718" s="206">
        <f t="shared" si="46"/>
        <v>0.75</v>
      </c>
    </row>
    <row r="719" spans="17:18">
      <c r="Q719" s="374">
        <f t="shared" si="45"/>
        <v>0.68200000000000049</v>
      </c>
      <c r="R719" s="206">
        <f t="shared" si="46"/>
        <v>0.75</v>
      </c>
    </row>
    <row r="720" spans="17:18">
      <c r="Q720" s="374">
        <f t="shared" si="45"/>
        <v>0.6830000000000005</v>
      </c>
      <c r="R720" s="206">
        <f t="shared" si="46"/>
        <v>0.75</v>
      </c>
    </row>
    <row r="721" spans="17:18">
      <c r="Q721" s="374">
        <f t="shared" si="45"/>
        <v>0.6840000000000005</v>
      </c>
      <c r="R721" s="206">
        <f t="shared" si="46"/>
        <v>0.75</v>
      </c>
    </row>
    <row r="722" spans="17:18">
      <c r="Q722" s="374">
        <f t="shared" si="45"/>
        <v>0.6850000000000005</v>
      </c>
      <c r="R722" s="206">
        <f t="shared" si="46"/>
        <v>0.75</v>
      </c>
    </row>
    <row r="723" spans="17:18">
      <c r="Q723" s="374">
        <f t="shared" si="45"/>
        <v>0.6860000000000005</v>
      </c>
      <c r="R723" s="206">
        <f t="shared" si="46"/>
        <v>0.75</v>
      </c>
    </row>
    <row r="724" spans="17:18">
      <c r="Q724" s="374">
        <f t="shared" si="45"/>
        <v>0.6870000000000005</v>
      </c>
      <c r="R724" s="206">
        <f t="shared" si="46"/>
        <v>0.75</v>
      </c>
    </row>
    <row r="725" spans="17:18">
      <c r="Q725" s="374">
        <f t="shared" si="45"/>
        <v>0.6880000000000005</v>
      </c>
      <c r="R725" s="206">
        <f t="shared" si="46"/>
        <v>0.75</v>
      </c>
    </row>
    <row r="726" spans="17:18">
      <c r="Q726" s="374">
        <f t="shared" si="45"/>
        <v>0.6890000000000005</v>
      </c>
      <c r="R726" s="206">
        <f t="shared" si="46"/>
        <v>0.75</v>
      </c>
    </row>
    <row r="727" spans="17:18">
      <c r="Q727" s="374">
        <f t="shared" si="45"/>
        <v>0.6900000000000005</v>
      </c>
      <c r="R727" s="206">
        <f t="shared" ref="R727:R758" si="47">3/4</f>
        <v>0.75</v>
      </c>
    </row>
    <row r="728" spans="17:18">
      <c r="Q728" s="374">
        <f t="shared" si="45"/>
        <v>0.6910000000000005</v>
      </c>
      <c r="R728" s="206">
        <f t="shared" si="47"/>
        <v>0.75</v>
      </c>
    </row>
    <row r="729" spans="17:18">
      <c r="Q729" s="374">
        <f t="shared" si="45"/>
        <v>0.6920000000000005</v>
      </c>
      <c r="R729" s="206">
        <f t="shared" si="47"/>
        <v>0.75</v>
      </c>
    </row>
    <row r="730" spans="17:18">
      <c r="Q730" s="374">
        <f t="shared" si="45"/>
        <v>0.6930000000000005</v>
      </c>
      <c r="R730" s="206">
        <f t="shared" si="47"/>
        <v>0.75</v>
      </c>
    </row>
    <row r="731" spans="17:18">
      <c r="Q731" s="374">
        <f t="shared" si="45"/>
        <v>0.69400000000000051</v>
      </c>
      <c r="R731" s="206">
        <f t="shared" si="47"/>
        <v>0.75</v>
      </c>
    </row>
    <row r="732" spans="17:18">
      <c r="Q732" s="374">
        <f t="shared" si="45"/>
        <v>0.69500000000000051</v>
      </c>
      <c r="R732" s="206">
        <f t="shared" si="47"/>
        <v>0.75</v>
      </c>
    </row>
    <row r="733" spans="17:18">
      <c r="Q733" s="374">
        <f t="shared" si="45"/>
        <v>0.69600000000000051</v>
      </c>
      <c r="R733" s="206">
        <f t="shared" si="47"/>
        <v>0.75</v>
      </c>
    </row>
    <row r="734" spans="17:18">
      <c r="Q734" s="374">
        <f t="shared" si="45"/>
        <v>0.69700000000000051</v>
      </c>
      <c r="R734" s="206">
        <f t="shared" si="47"/>
        <v>0.75</v>
      </c>
    </row>
    <row r="735" spans="17:18">
      <c r="Q735" s="374">
        <f t="shared" si="45"/>
        <v>0.69800000000000051</v>
      </c>
      <c r="R735" s="206">
        <f t="shared" si="47"/>
        <v>0.75</v>
      </c>
    </row>
    <row r="736" spans="17:18">
      <c r="Q736" s="374">
        <f t="shared" si="45"/>
        <v>0.69900000000000051</v>
      </c>
      <c r="R736" s="206">
        <f t="shared" si="47"/>
        <v>0.75</v>
      </c>
    </row>
    <row r="737" spans="17:18">
      <c r="Q737" s="374">
        <f t="shared" si="45"/>
        <v>0.70000000000000051</v>
      </c>
      <c r="R737" s="206">
        <f t="shared" si="47"/>
        <v>0.75</v>
      </c>
    </row>
    <row r="738" spans="17:18">
      <c r="Q738" s="374">
        <f t="shared" si="45"/>
        <v>0.70100000000000051</v>
      </c>
      <c r="R738" s="206">
        <f t="shared" si="47"/>
        <v>0.75</v>
      </c>
    </row>
    <row r="739" spans="17:18">
      <c r="Q739" s="374">
        <f t="shared" si="45"/>
        <v>0.70200000000000051</v>
      </c>
      <c r="R739" s="206">
        <f t="shared" si="47"/>
        <v>0.75</v>
      </c>
    </row>
    <row r="740" spans="17:18">
      <c r="Q740" s="374">
        <f t="shared" si="45"/>
        <v>0.70300000000000051</v>
      </c>
      <c r="R740" s="206">
        <f t="shared" si="47"/>
        <v>0.75</v>
      </c>
    </row>
    <row r="741" spans="17:18">
      <c r="Q741" s="374">
        <f t="shared" si="45"/>
        <v>0.70400000000000051</v>
      </c>
      <c r="R741" s="206">
        <f t="shared" si="47"/>
        <v>0.75</v>
      </c>
    </row>
    <row r="742" spans="17:18">
      <c r="Q742" s="374">
        <f t="shared" si="45"/>
        <v>0.70500000000000052</v>
      </c>
      <c r="R742" s="206">
        <f t="shared" si="47"/>
        <v>0.75</v>
      </c>
    </row>
    <row r="743" spans="17:18">
      <c r="Q743" s="374">
        <f t="shared" ref="Q743:Q806" si="48">Q742+0.001</f>
        <v>0.70600000000000052</v>
      </c>
      <c r="R743" s="206">
        <f t="shared" si="47"/>
        <v>0.75</v>
      </c>
    </row>
    <row r="744" spans="17:18">
      <c r="Q744" s="374">
        <f t="shared" si="48"/>
        <v>0.70700000000000052</v>
      </c>
      <c r="R744" s="206">
        <f t="shared" si="47"/>
        <v>0.75</v>
      </c>
    </row>
    <row r="745" spans="17:18">
      <c r="Q745" s="374">
        <f t="shared" si="48"/>
        <v>0.70800000000000052</v>
      </c>
      <c r="R745" s="206">
        <f t="shared" si="47"/>
        <v>0.75</v>
      </c>
    </row>
    <row r="746" spans="17:18">
      <c r="Q746" s="374">
        <f t="shared" si="48"/>
        <v>0.70900000000000052</v>
      </c>
      <c r="R746" s="206">
        <f t="shared" si="47"/>
        <v>0.75</v>
      </c>
    </row>
    <row r="747" spans="17:18">
      <c r="Q747" s="374">
        <f t="shared" si="48"/>
        <v>0.71000000000000052</v>
      </c>
      <c r="R747" s="206">
        <f t="shared" si="47"/>
        <v>0.75</v>
      </c>
    </row>
    <row r="748" spans="17:18">
      <c r="Q748" s="374">
        <f t="shared" si="48"/>
        <v>0.71100000000000052</v>
      </c>
      <c r="R748" s="206">
        <f t="shared" si="47"/>
        <v>0.75</v>
      </c>
    </row>
    <row r="749" spans="17:18">
      <c r="Q749" s="374">
        <f t="shared" si="48"/>
        <v>0.71200000000000052</v>
      </c>
      <c r="R749" s="206">
        <f t="shared" si="47"/>
        <v>0.75</v>
      </c>
    </row>
    <row r="750" spans="17:18">
      <c r="Q750" s="374">
        <f t="shared" si="48"/>
        <v>0.71300000000000052</v>
      </c>
      <c r="R750" s="206">
        <f t="shared" si="47"/>
        <v>0.75</v>
      </c>
    </row>
    <row r="751" spans="17:18">
      <c r="Q751" s="374">
        <f t="shared" si="48"/>
        <v>0.71400000000000052</v>
      </c>
      <c r="R751" s="206">
        <f t="shared" si="47"/>
        <v>0.75</v>
      </c>
    </row>
    <row r="752" spans="17:18">
      <c r="Q752" s="374">
        <f t="shared" si="48"/>
        <v>0.71500000000000052</v>
      </c>
      <c r="R752" s="206">
        <f t="shared" si="47"/>
        <v>0.75</v>
      </c>
    </row>
    <row r="753" spans="17:18">
      <c r="Q753" s="374">
        <f t="shared" si="48"/>
        <v>0.71600000000000052</v>
      </c>
      <c r="R753" s="206">
        <f t="shared" si="47"/>
        <v>0.75</v>
      </c>
    </row>
    <row r="754" spans="17:18">
      <c r="Q754" s="374">
        <f t="shared" si="48"/>
        <v>0.71700000000000053</v>
      </c>
      <c r="R754" s="206">
        <f t="shared" si="47"/>
        <v>0.75</v>
      </c>
    </row>
    <row r="755" spans="17:18">
      <c r="Q755" s="374">
        <f t="shared" si="48"/>
        <v>0.71800000000000053</v>
      </c>
      <c r="R755" s="206">
        <f t="shared" si="47"/>
        <v>0.75</v>
      </c>
    </row>
    <row r="756" spans="17:18">
      <c r="Q756" s="374">
        <f t="shared" si="48"/>
        <v>0.71900000000000053</v>
      </c>
      <c r="R756" s="206">
        <f t="shared" si="47"/>
        <v>0.75</v>
      </c>
    </row>
    <row r="757" spans="17:18">
      <c r="Q757" s="374">
        <f t="shared" si="48"/>
        <v>0.72000000000000053</v>
      </c>
      <c r="R757" s="206">
        <f t="shared" si="47"/>
        <v>0.75</v>
      </c>
    </row>
    <row r="758" spans="17:18">
      <c r="Q758" s="374">
        <f t="shared" si="48"/>
        <v>0.72100000000000053</v>
      </c>
      <c r="R758" s="206">
        <f t="shared" si="47"/>
        <v>0.75</v>
      </c>
    </row>
    <row r="759" spans="17:18">
      <c r="Q759" s="374">
        <f t="shared" si="48"/>
        <v>0.72200000000000053</v>
      </c>
      <c r="R759" s="206">
        <f t="shared" ref="R759:R787" si="49">3/4</f>
        <v>0.75</v>
      </c>
    </row>
    <row r="760" spans="17:18">
      <c r="Q760" s="374">
        <f t="shared" si="48"/>
        <v>0.72300000000000053</v>
      </c>
      <c r="R760" s="206">
        <f t="shared" si="49"/>
        <v>0.75</v>
      </c>
    </row>
    <row r="761" spans="17:18">
      <c r="Q761" s="374">
        <f t="shared" si="48"/>
        <v>0.72400000000000053</v>
      </c>
      <c r="R761" s="206">
        <f t="shared" si="49"/>
        <v>0.75</v>
      </c>
    </row>
    <row r="762" spans="17:18">
      <c r="Q762" s="374">
        <f t="shared" si="48"/>
        <v>0.72500000000000053</v>
      </c>
      <c r="R762" s="206">
        <f t="shared" si="49"/>
        <v>0.75</v>
      </c>
    </row>
    <row r="763" spans="17:18">
      <c r="Q763" s="374">
        <f t="shared" si="48"/>
        <v>0.72600000000000053</v>
      </c>
      <c r="R763" s="206">
        <f t="shared" si="49"/>
        <v>0.75</v>
      </c>
    </row>
    <row r="764" spans="17:18">
      <c r="Q764" s="374">
        <f t="shared" si="48"/>
        <v>0.72700000000000053</v>
      </c>
      <c r="R764" s="206">
        <f t="shared" si="49"/>
        <v>0.75</v>
      </c>
    </row>
    <row r="765" spans="17:18">
      <c r="Q765" s="374">
        <f t="shared" si="48"/>
        <v>0.72800000000000054</v>
      </c>
      <c r="R765" s="206">
        <f t="shared" si="49"/>
        <v>0.75</v>
      </c>
    </row>
    <row r="766" spans="17:18">
      <c r="Q766" s="374">
        <f t="shared" si="48"/>
        <v>0.72900000000000054</v>
      </c>
      <c r="R766" s="206">
        <f t="shared" si="49"/>
        <v>0.75</v>
      </c>
    </row>
    <row r="767" spans="17:18">
      <c r="Q767" s="374">
        <f t="shared" si="48"/>
        <v>0.73000000000000054</v>
      </c>
      <c r="R767" s="206">
        <f t="shared" si="49"/>
        <v>0.75</v>
      </c>
    </row>
    <row r="768" spans="17:18">
      <c r="Q768" s="374">
        <f t="shared" si="48"/>
        <v>0.73100000000000054</v>
      </c>
      <c r="R768" s="206">
        <f t="shared" si="49"/>
        <v>0.75</v>
      </c>
    </row>
    <row r="769" spans="17:18">
      <c r="Q769" s="374">
        <f t="shared" si="48"/>
        <v>0.73200000000000054</v>
      </c>
      <c r="R769" s="206">
        <f t="shared" si="49"/>
        <v>0.75</v>
      </c>
    </row>
    <row r="770" spans="17:18">
      <c r="Q770" s="374">
        <f t="shared" si="48"/>
        <v>0.73300000000000054</v>
      </c>
      <c r="R770" s="206">
        <f t="shared" si="49"/>
        <v>0.75</v>
      </c>
    </row>
    <row r="771" spans="17:18">
      <c r="Q771" s="374">
        <f t="shared" si="48"/>
        <v>0.73400000000000054</v>
      </c>
      <c r="R771" s="206">
        <f t="shared" si="49"/>
        <v>0.75</v>
      </c>
    </row>
    <row r="772" spans="17:18">
      <c r="Q772" s="374">
        <f t="shared" si="48"/>
        <v>0.73500000000000054</v>
      </c>
      <c r="R772" s="206">
        <f t="shared" si="49"/>
        <v>0.75</v>
      </c>
    </row>
    <row r="773" spans="17:18">
      <c r="Q773" s="374">
        <f t="shared" si="48"/>
        <v>0.73600000000000054</v>
      </c>
      <c r="R773" s="206">
        <f t="shared" si="49"/>
        <v>0.75</v>
      </c>
    </row>
    <row r="774" spans="17:18">
      <c r="Q774" s="374">
        <f t="shared" si="48"/>
        <v>0.73700000000000054</v>
      </c>
      <c r="R774" s="206">
        <f t="shared" si="49"/>
        <v>0.75</v>
      </c>
    </row>
    <row r="775" spans="17:18">
      <c r="Q775" s="374">
        <f t="shared" si="48"/>
        <v>0.73800000000000054</v>
      </c>
      <c r="R775" s="206">
        <f t="shared" si="49"/>
        <v>0.75</v>
      </c>
    </row>
    <row r="776" spans="17:18">
      <c r="Q776" s="374">
        <f t="shared" si="48"/>
        <v>0.73900000000000055</v>
      </c>
      <c r="R776" s="206">
        <f t="shared" si="49"/>
        <v>0.75</v>
      </c>
    </row>
    <row r="777" spans="17:18">
      <c r="Q777" s="374">
        <f t="shared" si="48"/>
        <v>0.74000000000000055</v>
      </c>
      <c r="R777" s="206">
        <f t="shared" si="49"/>
        <v>0.75</v>
      </c>
    </row>
    <row r="778" spans="17:18">
      <c r="Q778" s="374">
        <f t="shared" si="48"/>
        <v>0.74100000000000055</v>
      </c>
      <c r="R778" s="206">
        <f t="shared" si="49"/>
        <v>0.75</v>
      </c>
    </row>
    <row r="779" spans="17:18">
      <c r="Q779" s="374">
        <f t="shared" si="48"/>
        <v>0.74200000000000055</v>
      </c>
      <c r="R779" s="206">
        <f t="shared" si="49"/>
        <v>0.75</v>
      </c>
    </row>
    <row r="780" spans="17:18">
      <c r="Q780" s="374">
        <f t="shared" si="48"/>
        <v>0.74300000000000055</v>
      </c>
      <c r="R780" s="206">
        <f t="shared" si="49"/>
        <v>0.75</v>
      </c>
    </row>
    <row r="781" spans="17:18">
      <c r="Q781" s="374">
        <f t="shared" si="48"/>
        <v>0.74400000000000055</v>
      </c>
      <c r="R781" s="206">
        <f t="shared" si="49"/>
        <v>0.75</v>
      </c>
    </row>
    <row r="782" spans="17:18">
      <c r="Q782" s="374">
        <f t="shared" si="48"/>
        <v>0.74500000000000055</v>
      </c>
      <c r="R782" s="206">
        <f t="shared" si="49"/>
        <v>0.75</v>
      </c>
    </row>
    <row r="783" spans="17:18">
      <c r="Q783" s="374">
        <f t="shared" si="48"/>
        <v>0.74600000000000055</v>
      </c>
      <c r="R783" s="206">
        <f t="shared" si="49"/>
        <v>0.75</v>
      </c>
    </row>
    <row r="784" spans="17:18">
      <c r="Q784" s="374">
        <f t="shared" si="48"/>
        <v>0.74700000000000055</v>
      </c>
      <c r="R784" s="206">
        <f t="shared" si="49"/>
        <v>0.75</v>
      </c>
    </row>
    <row r="785" spans="17:18">
      <c r="Q785" s="374">
        <f t="shared" si="48"/>
        <v>0.74800000000000055</v>
      </c>
      <c r="R785" s="206">
        <f t="shared" si="49"/>
        <v>0.75</v>
      </c>
    </row>
    <row r="786" spans="17:18">
      <c r="Q786" s="374">
        <f t="shared" si="48"/>
        <v>0.74900000000000055</v>
      </c>
      <c r="R786" s="206">
        <f t="shared" si="49"/>
        <v>0.75</v>
      </c>
    </row>
    <row r="787" spans="17:18">
      <c r="Q787" s="374">
        <f t="shared" si="48"/>
        <v>0.75000000000000056</v>
      </c>
      <c r="R787" s="206">
        <f t="shared" si="49"/>
        <v>0.75</v>
      </c>
    </row>
    <row r="788" spans="17:18">
      <c r="Q788" s="374">
        <f t="shared" si="48"/>
        <v>0.75100000000000056</v>
      </c>
      <c r="R788" s="206">
        <f t="shared" ref="R788:R819" si="50">7/8</f>
        <v>0.875</v>
      </c>
    </row>
    <row r="789" spans="17:18">
      <c r="Q789" s="374">
        <f t="shared" si="48"/>
        <v>0.75200000000000056</v>
      </c>
      <c r="R789" s="206">
        <f t="shared" si="50"/>
        <v>0.875</v>
      </c>
    </row>
    <row r="790" spans="17:18">
      <c r="Q790" s="374">
        <f t="shared" si="48"/>
        <v>0.75300000000000056</v>
      </c>
      <c r="R790" s="206">
        <f t="shared" si="50"/>
        <v>0.875</v>
      </c>
    </row>
    <row r="791" spans="17:18">
      <c r="Q791" s="374">
        <f t="shared" si="48"/>
        <v>0.75400000000000056</v>
      </c>
      <c r="R791" s="206">
        <f t="shared" si="50"/>
        <v>0.875</v>
      </c>
    </row>
    <row r="792" spans="17:18">
      <c r="Q792" s="374">
        <f t="shared" si="48"/>
        <v>0.75500000000000056</v>
      </c>
      <c r="R792" s="206">
        <f t="shared" si="50"/>
        <v>0.875</v>
      </c>
    </row>
    <row r="793" spans="17:18">
      <c r="Q793" s="374">
        <f t="shared" si="48"/>
        <v>0.75600000000000056</v>
      </c>
      <c r="R793" s="206">
        <f t="shared" si="50"/>
        <v>0.875</v>
      </c>
    </row>
    <row r="794" spans="17:18">
      <c r="Q794" s="374">
        <f t="shared" si="48"/>
        <v>0.75700000000000056</v>
      </c>
      <c r="R794" s="206">
        <f t="shared" si="50"/>
        <v>0.875</v>
      </c>
    </row>
    <row r="795" spans="17:18">
      <c r="Q795" s="374">
        <f t="shared" si="48"/>
        <v>0.75800000000000056</v>
      </c>
      <c r="R795" s="206">
        <f t="shared" si="50"/>
        <v>0.875</v>
      </c>
    </row>
    <row r="796" spans="17:18">
      <c r="Q796" s="374">
        <f t="shared" si="48"/>
        <v>0.75900000000000056</v>
      </c>
      <c r="R796" s="206">
        <f t="shared" si="50"/>
        <v>0.875</v>
      </c>
    </row>
    <row r="797" spans="17:18">
      <c r="Q797" s="374">
        <f t="shared" si="48"/>
        <v>0.76000000000000056</v>
      </c>
      <c r="R797" s="206">
        <f t="shared" si="50"/>
        <v>0.875</v>
      </c>
    </row>
    <row r="798" spans="17:18">
      <c r="Q798" s="374">
        <f t="shared" si="48"/>
        <v>0.76100000000000056</v>
      </c>
      <c r="R798" s="206">
        <f t="shared" si="50"/>
        <v>0.875</v>
      </c>
    </row>
    <row r="799" spans="17:18">
      <c r="Q799" s="374">
        <f t="shared" si="48"/>
        <v>0.76200000000000057</v>
      </c>
      <c r="R799" s="206">
        <f t="shared" si="50"/>
        <v>0.875</v>
      </c>
    </row>
    <row r="800" spans="17:18">
      <c r="Q800" s="374">
        <f t="shared" si="48"/>
        <v>0.76300000000000057</v>
      </c>
      <c r="R800" s="206">
        <f t="shared" si="50"/>
        <v>0.875</v>
      </c>
    </row>
    <row r="801" spans="17:18">
      <c r="Q801" s="374">
        <f t="shared" si="48"/>
        <v>0.76400000000000057</v>
      </c>
      <c r="R801" s="206">
        <f t="shared" si="50"/>
        <v>0.875</v>
      </c>
    </row>
    <row r="802" spans="17:18">
      <c r="Q802" s="374">
        <f t="shared" si="48"/>
        <v>0.76500000000000057</v>
      </c>
      <c r="R802" s="206">
        <f t="shared" si="50"/>
        <v>0.875</v>
      </c>
    </row>
    <row r="803" spans="17:18">
      <c r="Q803" s="374">
        <f t="shared" si="48"/>
        <v>0.76600000000000057</v>
      </c>
      <c r="R803" s="206">
        <f t="shared" si="50"/>
        <v>0.875</v>
      </c>
    </row>
    <row r="804" spans="17:18">
      <c r="Q804" s="374">
        <f t="shared" si="48"/>
        <v>0.76700000000000057</v>
      </c>
      <c r="R804" s="206">
        <f t="shared" si="50"/>
        <v>0.875</v>
      </c>
    </row>
    <row r="805" spans="17:18">
      <c r="Q805" s="374">
        <f t="shared" si="48"/>
        <v>0.76800000000000057</v>
      </c>
      <c r="R805" s="206">
        <f t="shared" si="50"/>
        <v>0.875</v>
      </c>
    </row>
    <row r="806" spans="17:18">
      <c r="Q806" s="374">
        <f t="shared" si="48"/>
        <v>0.76900000000000057</v>
      </c>
      <c r="R806" s="206">
        <f t="shared" si="50"/>
        <v>0.875</v>
      </c>
    </row>
    <row r="807" spans="17:18">
      <c r="Q807" s="374">
        <f t="shared" ref="Q807:Q870" si="51">Q806+0.001</f>
        <v>0.77000000000000057</v>
      </c>
      <c r="R807" s="206">
        <f t="shared" si="50"/>
        <v>0.875</v>
      </c>
    </row>
    <row r="808" spans="17:18">
      <c r="Q808" s="374">
        <f t="shared" si="51"/>
        <v>0.77100000000000057</v>
      </c>
      <c r="R808" s="206">
        <f t="shared" si="50"/>
        <v>0.875</v>
      </c>
    </row>
    <row r="809" spans="17:18">
      <c r="Q809" s="374">
        <f t="shared" si="51"/>
        <v>0.77200000000000057</v>
      </c>
      <c r="R809" s="206">
        <f t="shared" si="50"/>
        <v>0.875</v>
      </c>
    </row>
    <row r="810" spans="17:18">
      <c r="Q810" s="374">
        <f t="shared" si="51"/>
        <v>0.77300000000000058</v>
      </c>
      <c r="R810" s="206">
        <f t="shared" si="50"/>
        <v>0.875</v>
      </c>
    </row>
    <row r="811" spans="17:18">
      <c r="Q811" s="374">
        <f t="shared" si="51"/>
        <v>0.77400000000000058</v>
      </c>
      <c r="R811" s="206">
        <f t="shared" si="50"/>
        <v>0.875</v>
      </c>
    </row>
    <row r="812" spans="17:18">
      <c r="Q812" s="374">
        <f t="shared" si="51"/>
        <v>0.77500000000000058</v>
      </c>
      <c r="R812" s="206">
        <f t="shared" si="50"/>
        <v>0.875</v>
      </c>
    </row>
    <row r="813" spans="17:18">
      <c r="Q813" s="374">
        <f t="shared" si="51"/>
        <v>0.77600000000000058</v>
      </c>
      <c r="R813" s="206">
        <f t="shared" si="50"/>
        <v>0.875</v>
      </c>
    </row>
    <row r="814" spans="17:18">
      <c r="Q814" s="374">
        <f t="shared" si="51"/>
        <v>0.77700000000000058</v>
      </c>
      <c r="R814" s="206">
        <f t="shared" si="50"/>
        <v>0.875</v>
      </c>
    </row>
    <row r="815" spans="17:18">
      <c r="Q815" s="374">
        <f t="shared" si="51"/>
        <v>0.77800000000000058</v>
      </c>
      <c r="R815" s="206">
        <f t="shared" si="50"/>
        <v>0.875</v>
      </c>
    </row>
    <row r="816" spans="17:18">
      <c r="Q816" s="374">
        <f t="shared" si="51"/>
        <v>0.77900000000000058</v>
      </c>
      <c r="R816" s="206">
        <f t="shared" si="50"/>
        <v>0.875</v>
      </c>
    </row>
    <row r="817" spans="17:18">
      <c r="Q817" s="374">
        <f t="shared" si="51"/>
        <v>0.78000000000000058</v>
      </c>
      <c r="R817" s="206">
        <f t="shared" si="50"/>
        <v>0.875</v>
      </c>
    </row>
    <row r="818" spans="17:18">
      <c r="Q818" s="374">
        <f t="shared" si="51"/>
        <v>0.78100000000000058</v>
      </c>
      <c r="R818" s="206">
        <f t="shared" si="50"/>
        <v>0.875</v>
      </c>
    </row>
    <row r="819" spans="17:18">
      <c r="Q819" s="374">
        <f t="shared" si="51"/>
        <v>0.78200000000000058</v>
      </c>
      <c r="R819" s="206">
        <f t="shared" si="50"/>
        <v>0.875</v>
      </c>
    </row>
    <row r="820" spans="17:18">
      <c r="Q820" s="374">
        <f t="shared" si="51"/>
        <v>0.78300000000000058</v>
      </c>
      <c r="R820" s="206">
        <f t="shared" ref="R820:R851" si="52">7/8</f>
        <v>0.875</v>
      </c>
    </row>
    <row r="821" spans="17:18">
      <c r="Q821" s="374">
        <f t="shared" si="51"/>
        <v>0.78400000000000059</v>
      </c>
      <c r="R821" s="206">
        <f t="shared" si="52"/>
        <v>0.875</v>
      </c>
    </row>
    <row r="822" spans="17:18">
      <c r="Q822" s="374">
        <f t="shared" si="51"/>
        <v>0.78500000000000059</v>
      </c>
      <c r="R822" s="206">
        <f t="shared" si="52"/>
        <v>0.875</v>
      </c>
    </row>
    <row r="823" spans="17:18">
      <c r="Q823" s="374">
        <f t="shared" si="51"/>
        <v>0.78600000000000059</v>
      </c>
      <c r="R823" s="206">
        <f t="shared" si="52"/>
        <v>0.875</v>
      </c>
    </row>
    <row r="824" spans="17:18">
      <c r="Q824" s="374">
        <f t="shared" si="51"/>
        <v>0.78700000000000059</v>
      </c>
      <c r="R824" s="206">
        <f t="shared" si="52"/>
        <v>0.875</v>
      </c>
    </row>
    <row r="825" spans="17:18">
      <c r="Q825" s="374">
        <f t="shared" si="51"/>
        <v>0.78800000000000059</v>
      </c>
      <c r="R825" s="206">
        <f t="shared" si="52"/>
        <v>0.875</v>
      </c>
    </row>
    <row r="826" spans="17:18">
      <c r="Q826" s="374">
        <f t="shared" si="51"/>
        <v>0.78900000000000059</v>
      </c>
      <c r="R826" s="206">
        <f t="shared" si="52"/>
        <v>0.875</v>
      </c>
    </row>
    <row r="827" spans="17:18">
      <c r="Q827" s="374">
        <f t="shared" si="51"/>
        <v>0.79000000000000059</v>
      </c>
      <c r="R827" s="206">
        <f t="shared" si="52"/>
        <v>0.875</v>
      </c>
    </row>
    <row r="828" spans="17:18">
      <c r="Q828" s="374">
        <f t="shared" si="51"/>
        <v>0.79100000000000059</v>
      </c>
      <c r="R828" s="206">
        <f t="shared" si="52"/>
        <v>0.875</v>
      </c>
    </row>
    <row r="829" spans="17:18">
      <c r="Q829" s="374">
        <f t="shared" si="51"/>
        <v>0.79200000000000059</v>
      </c>
      <c r="R829" s="206">
        <f t="shared" si="52"/>
        <v>0.875</v>
      </c>
    </row>
    <row r="830" spans="17:18">
      <c r="Q830" s="374">
        <f t="shared" si="51"/>
        <v>0.79300000000000059</v>
      </c>
      <c r="R830" s="206">
        <f t="shared" si="52"/>
        <v>0.875</v>
      </c>
    </row>
    <row r="831" spans="17:18">
      <c r="Q831" s="374">
        <f t="shared" si="51"/>
        <v>0.79400000000000059</v>
      </c>
      <c r="R831" s="206">
        <f t="shared" si="52"/>
        <v>0.875</v>
      </c>
    </row>
    <row r="832" spans="17:18">
      <c r="Q832" s="374">
        <f t="shared" si="51"/>
        <v>0.7950000000000006</v>
      </c>
      <c r="R832" s="206">
        <f t="shared" si="52"/>
        <v>0.875</v>
      </c>
    </row>
    <row r="833" spans="17:18">
      <c r="Q833" s="374">
        <f t="shared" si="51"/>
        <v>0.7960000000000006</v>
      </c>
      <c r="R833" s="206">
        <f t="shared" si="52"/>
        <v>0.875</v>
      </c>
    </row>
    <row r="834" spans="17:18">
      <c r="Q834" s="374">
        <f t="shared" si="51"/>
        <v>0.7970000000000006</v>
      </c>
      <c r="R834" s="206">
        <f t="shared" si="52"/>
        <v>0.875</v>
      </c>
    </row>
    <row r="835" spans="17:18">
      <c r="Q835" s="374">
        <f t="shared" si="51"/>
        <v>0.7980000000000006</v>
      </c>
      <c r="R835" s="206">
        <f t="shared" si="52"/>
        <v>0.875</v>
      </c>
    </row>
    <row r="836" spans="17:18">
      <c r="Q836" s="374">
        <f t="shared" si="51"/>
        <v>0.7990000000000006</v>
      </c>
      <c r="R836" s="206">
        <f t="shared" si="52"/>
        <v>0.875</v>
      </c>
    </row>
    <row r="837" spans="17:18">
      <c r="Q837" s="374">
        <f t="shared" si="51"/>
        <v>0.8000000000000006</v>
      </c>
      <c r="R837" s="206">
        <f t="shared" si="52"/>
        <v>0.875</v>
      </c>
    </row>
    <row r="838" spans="17:18">
      <c r="Q838" s="374">
        <f t="shared" si="51"/>
        <v>0.8010000000000006</v>
      </c>
      <c r="R838" s="206">
        <f t="shared" si="52"/>
        <v>0.875</v>
      </c>
    </row>
    <row r="839" spans="17:18">
      <c r="Q839" s="374">
        <f t="shared" si="51"/>
        <v>0.8020000000000006</v>
      </c>
      <c r="R839" s="206">
        <f t="shared" si="52"/>
        <v>0.875</v>
      </c>
    </row>
    <row r="840" spans="17:18">
      <c r="Q840" s="374">
        <f t="shared" si="51"/>
        <v>0.8030000000000006</v>
      </c>
      <c r="R840" s="206">
        <f t="shared" si="52"/>
        <v>0.875</v>
      </c>
    </row>
    <row r="841" spans="17:18">
      <c r="Q841" s="374">
        <f t="shared" si="51"/>
        <v>0.8040000000000006</v>
      </c>
      <c r="R841" s="206">
        <f t="shared" si="52"/>
        <v>0.875</v>
      </c>
    </row>
    <row r="842" spans="17:18">
      <c r="Q842" s="374">
        <f t="shared" si="51"/>
        <v>0.8050000000000006</v>
      </c>
      <c r="R842" s="206">
        <f t="shared" si="52"/>
        <v>0.875</v>
      </c>
    </row>
    <row r="843" spans="17:18">
      <c r="Q843" s="374">
        <f t="shared" si="51"/>
        <v>0.8060000000000006</v>
      </c>
      <c r="R843" s="206">
        <f t="shared" si="52"/>
        <v>0.875</v>
      </c>
    </row>
    <row r="844" spans="17:18">
      <c r="Q844" s="374">
        <f t="shared" si="51"/>
        <v>0.80700000000000061</v>
      </c>
      <c r="R844" s="206">
        <f t="shared" si="52"/>
        <v>0.875</v>
      </c>
    </row>
    <row r="845" spans="17:18">
      <c r="Q845" s="374">
        <f t="shared" si="51"/>
        <v>0.80800000000000061</v>
      </c>
      <c r="R845" s="206">
        <f t="shared" si="52"/>
        <v>0.875</v>
      </c>
    </row>
    <row r="846" spans="17:18">
      <c r="Q846" s="374">
        <f t="shared" si="51"/>
        <v>0.80900000000000061</v>
      </c>
      <c r="R846" s="206">
        <f t="shared" si="52"/>
        <v>0.875</v>
      </c>
    </row>
    <row r="847" spans="17:18">
      <c r="Q847" s="374">
        <f t="shared" si="51"/>
        <v>0.81000000000000061</v>
      </c>
      <c r="R847" s="206">
        <f t="shared" si="52"/>
        <v>0.875</v>
      </c>
    </row>
    <row r="848" spans="17:18">
      <c r="Q848" s="374">
        <f t="shared" si="51"/>
        <v>0.81100000000000061</v>
      </c>
      <c r="R848" s="206">
        <f t="shared" si="52"/>
        <v>0.875</v>
      </c>
    </row>
    <row r="849" spans="17:18">
      <c r="Q849" s="374">
        <f t="shared" si="51"/>
        <v>0.81200000000000061</v>
      </c>
      <c r="R849" s="206">
        <f t="shared" si="52"/>
        <v>0.875</v>
      </c>
    </row>
    <row r="850" spans="17:18">
      <c r="Q850" s="374">
        <f t="shared" si="51"/>
        <v>0.81300000000000061</v>
      </c>
      <c r="R850" s="206">
        <f t="shared" si="52"/>
        <v>0.875</v>
      </c>
    </row>
    <row r="851" spans="17:18">
      <c r="Q851" s="374">
        <f t="shared" si="51"/>
        <v>0.81400000000000061</v>
      </c>
      <c r="R851" s="206">
        <f t="shared" si="52"/>
        <v>0.875</v>
      </c>
    </row>
    <row r="852" spans="17:18">
      <c r="Q852" s="374">
        <f t="shared" si="51"/>
        <v>0.81500000000000061</v>
      </c>
      <c r="R852" s="206">
        <f t="shared" ref="R852:R883" si="53">7/8</f>
        <v>0.875</v>
      </c>
    </row>
    <row r="853" spans="17:18">
      <c r="Q853" s="374">
        <f t="shared" si="51"/>
        <v>0.81600000000000061</v>
      </c>
      <c r="R853" s="206">
        <f t="shared" si="53"/>
        <v>0.875</v>
      </c>
    </row>
    <row r="854" spans="17:18">
      <c r="Q854" s="374">
        <f t="shared" si="51"/>
        <v>0.81700000000000061</v>
      </c>
      <c r="R854" s="206">
        <f t="shared" si="53"/>
        <v>0.875</v>
      </c>
    </row>
    <row r="855" spans="17:18">
      <c r="Q855" s="374">
        <f t="shared" si="51"/>
        <v>0.81800000000000062</v>
      </c>
      <c r="R855" s="206">
        <f t="shared" si="53"/>
        <v>0.875</v>
      </c>
    </row>
    <row r="856" spans="17:18">
      <c r="Q856" s="374">
        <f t="shared" si="51"/>
        <v>0.81900000000000062</v>
      </c>
      <c r="R856" s="206">
        <f t="shared" si="53"/>
        <v>0.875</v>
      </c>
    </row>
    <row r="857" spans="17:18">
      <c r="Q857" s="374">
        <f t="shared" si="51"/>
        <v>0.82000000000000062</v>
      </c>
      <c r="R857" s="206">
        <f t="shared" si="53"/>
        <v>0.875</v>
      </c>
    </row>
    <row r="858" spans="17:18">
      <c r="Q858" s="374">
        <f t="shared" si="51"/>
        <v>0.82100000000000062</v>
      </c>
      <c r="R858" s="206">
        <f t="shared" si="53"/>
        <v>0.875</v>
      </c>
    </row>
    <row r="859" spans="17:18">
      <c r="Q859" s="374">
        <f t="shared" si="51"/>
        <v>0.82200000000000062</v>
      </c>
      <c r="R859" s="206">
        <f t="shared" si="53"/>
        <v>0.875</v>
      </c>
    </row>
    <row r="860" spans="17:18">
      <c r="Q860" s="374">
        <f t="shared" si="51"/>
        <v>0.82300000000000062</v>
      </c>
      <c r="R860" s="206">
        <f t="shared" si="53"/>
        <v>0.875</v>
      </c>
    </row>
    <row r="861" spans="17:18">
      <c r="Q861" s="374">
        <f t="shared" si="51"/>
        <v>0.82400000000000062</v>
      </c>
      <c r="R861" s="206">
        <f t="shared" si="53"/>
        <v>0.875</v>
      </c>
    </row>
    <row r="862" spans="17:18">
      <c r="Q862" s="374">
        <f t="shared" si="51"/>
        <v>0.82500000000000062</v>
      </c>
      <c r="R862" s="206">
        <f t="shared" si="53"/>
        <v>0.875</v>
      </c>
    </row>
    <row r="863" spans="17:18">
      <c r="Q863" s="374">
        <f t="shared" si="51"/>
        <v>0.82600000000000062</v>
      </c>
      <c r="R863" s="206">
        <f t="shared" si="53"/>
        <v>0.875</v>
      </c>
    </row>
    <row r="864" spans="17:18">
      <c r="Q864" s="374">
        <f t="shared" si="51"/>
        <v>0.82700000000000062</v>
      </c>
      <c r="R864" s="206">
        <f t="shared" si="53"/>
        <v>0.875</v>
      </c>
    </row>
    <row r="865" spans="17:18">
      <c r="Q865" s="374">
        <f t="shared" si="51"/>
        <v>0.82800000000000062</v>
      </c>
      <c r="R865" s="206">
        <f t="shared" si="53"/>
        <v>0.875</v>
      </c>
    </row>
    <row r="866" spans="17:18">
      <c r="Q866" s="374">
        <f t="shared" si="51"/>
        <v>0.82900000000000063</v>
      </c>
      <c r="R866" s="206">
        <f t="shared" si="53"/>
        <v>0.875</v>
      </c>
    </row>
    <row r="867" spans="17:18">
      <c r="Q867" s="374">
        <f t="shared" si="51"/>
        <v>0.83000000000000063</v>
      </c>
      <c r="R867" s="206">
        <f t="shared" si="53"/>
        <v>0.875</v>
      </c>
    </row>
    <row r="868" spans="17:18">
      <c r="Q868" s="374">
        <f t="shared" si="51"/>
        <v>0.83100000000000063</v>
      </c>
      <c r="R868" s="206">
        <f t="shared" si="53"/>
        <v>0.875</v>
      </c>
    </row>
    <row r="869" spans="17:18">
      <c r="Q869" s="374">
        <f t="shared" si="51"/>
        <v>0.83200000000000063</v>
      </c>
      <c r="R869" s="206">
        <f t="shared" si="53"/>
        <v>0.875</v>
      </c>
    </row>
    <row r="870" spans="17:18">
      <c r="Q870" s="374">
        <f t="shared" si="51"/>
        <v>0.83300000000000063</v>
      </c>
      <c r="R870" s="206">
        <f t="shared" si="53"/>
        <v>0.875</v>
      </c>
    </row>
    <row r="871" spans="17:18">
      <c r="Q871" s="374">
        <f t="shared" ref="Q871:Q934" si="54">Q870+0.001</f>
        <v>0.83400000000000063</v>
      </c>
      <c r="R871" s="206">
        <f t="shared" si="53"/>
        <v>0.875</v>
      </c>
    </row>
    <row r="872" spans="17:18">
      <c r="Q872" s="374">
        <f t="shared" si="54"/>
        <v>0.83500000000000063</v>
      </c>
      <c r="R872" s="206">
        <f t="shared" si="53"/>
        <v>0.875</v>
      </c>
    </row>
    <row r="873" spans="17:18">
      <c r="Q873" s="374">
        <f t="shared" si="54"/>
        <v>0.83600000000000063</v>
      </c>
      <c r="R873" s="206">
        <f t="shared" si="53"/>
        <v>0.875</v>
      </c>
    </row>
    <row r="874" spans="17:18">
      <c r="Q874" s="374">
        <f t="shared" si="54"/>
        <v>0.83700000000000063</v>
      </c>
      <c r="R874" s="206">
        <f t="shared" si="53"/>
        <v>0.875</v>
      </c>
    </row>
    <row r="875" spans="17:18">
      <c r="Q875" s="374">
        <f t="shared" si="54"/>
        <v>0.83800000000000063</v>
      </c>
      <c r="R875" s="206">
        <f t="shared" si="53"/>
        <v>0.875</v>
      </c>
    </row>
    <row r="876" spans="17:18">
      <c r="Q876" s="374">
        <f t="shared" si="54"/>
        <v>0.83900000000000063</v>
      </c>
      <c r="R876" s="206">
        <f t="shared" si="53"/>
        <v>0.875</v>
      </c>
    </row>
    <row r="877" spans="17:18">
      <c r="Q877" s="374">
        <f t="shared" si="54"/>
        <v>0.84000000000000064</v>
      </c>
      <c r="R877" s="206">
        <f t="shared" si="53"/>
        <v>0.875</v>
      </c>
    </row>
    <row r="878" spans="17:18">
      <c r="Q878" s="374">
        <f t="shared" si="54"/>
        <v>0.84100000000000064</v>
      </c>
      <c r="R878" s="206">
        <f t="shared" si="53"/>
        <v>0.875</v>
      </c>
    </row>
    <row r="879" spans="17:18">
      <c r="Q879" s="374">
        <f t="shared" si="54"/>
        <v>0.84200000000000064</v>
      </c>
      <c r="R879" s="206">
        <f t="shared" si="53"/>
        <v>0.875</v>
      </c>
    </row>
    <row r="880" spans="17:18">
      <c r="Q880" s="374">
        <f t="shared" si="54"/>
        <v>0.84300000000000064</v>
      </c>
      <c r="R880" s="206">
        <f t="shared" si="53"/>
        <v>0.875</v>
      </c>
    </row>
    <row r="881" spans="17:18">
      <c r="Q881" s="374">
        <f t="shared" si="54"/>
        <v>0.84400000000000064</v>
      </c>
      <c r="R881" s="206">
        <f t="shared" si="53"/>
        <v>0.875</v>
      </c>
    </row>
    <row r="882" spans="17:18">
      <c r="Q882" s="374">
        <f t="shared" si="54"/>
        <v>0.84500000000000064</v>
      </c>
      <c r="R882" s="206">
        <f t="shared" si="53"/>
        <v>0.875</v>
      </c>
    </row>
    <row r="883" spans="17:18">
      <c r="Q883" s="374">
        <f t="shared" si="54"/>
        <v>0.84600000000000064</v>
      </c>
      <c r="R883" s="206">
        <f t="shared" si="53"/>
        <v>0.875</v>
      </c>
    </row>
    <row r="884" spans="17:18">
      <c r="Q884" s="374">
        <f t="shared" si="54"/>
        <v>0.84700000000000064</v>
      </c>
      <c r="R884" s="206">
        <f t="shared" ref="R884:R912" si="55">7/8</f>
        <v>0.875</v>
      </c>
    </row>
    <row r="885" spans="17:18">
      <c r="Q885" s="374">
        <f t="shared" si="54"/>
        <v>0.84800000000000064</v>
      </c>
      <c r="R885" s="206">
        <f t="shared" si="55"/>
        <v>0.875</v>
      </c>
    </row>
    <row r="886" spans="17:18">
      <c r="Q886" s="374">
        <f t="shared" si="54"/>
        <v>0.84900000000000064</v>
      </c>
      <c r="R886" s="206">
        <f t="shared" si="55"/>
        <v>0.875</v>
      </c>
    </row>
    <row r="887" spans="17:18">
      <c r="Q887" s="374">
        <f t="shared" si="54"/>
        <v>0.85000000000000064</v>
      </c>
      <c r="R887" s="206">
        <f t="shared" si="55"/>
        <v>0.875</v>
      </c>
    </row>
    <row r="888" spans="17:18">
      <c r="Q888" s="374">
        <f t="shared" si="54"/>
        <v>0.85100000000000064</v>
      </c>
      <c r="R888" s="206">
        <f t="shared" si="55"/>
        <v>0.875</v>
      </c>
    </row>
    <row r="889" spans="17:18">
      <c r="Q889" s="374">
        <f t="shared" si="54"/>
        <v>0.85200000000000065</v>
      </c>
      <c r="R889" s="206">
        <f t="shared" si="55"/>
        <v>0.875</v>
      </c>
    </row>
    <row r="890" spans="17:18">
      <c r="Q890" s="374">
        <f t="shared" si="54"/>
        <v>0.85300000000000065</v>
      </c>
      <c r="R890" s="206">
        <f t="shared" si="55"/>
        <v>0.875</v>
      </c>
    </row>
    <row r="891" spans="17:18">
      <c r="Q891" s="374">
        <f t="shared" si="54"/>
        <v>0.85400000000000065</v>
      </c>
      <c r="R891" s="206">
        <f t="shared" si="55"/>
        <v>0.875</v>
      </c>
    </row>
    <row r="892" spans="17:18">
      <c r="Q892" s="374">
        <f t="shared" si="54"/>
        <v>0.85500000000000065</v>
      </c>
      <c r="R892" s="206">
        <f t="shared" si="55"/>
        <v>0.875</v>
      </c>
    </row>
    <row r="893" spans="17:18">
      <c r="Q893" s="374">
        <f t="shared" si="54"/>
        <v>0.85600000000000065</v>
      </c>
      <c r="R893" s="206">
        <f t="shared" si="55"/>
        <v>0.875</v>
      </c>
    </row>
    <row r="894" spans="17:18">
      <c r="Q894" s="374">
        <f t="shared" si="54"/>
        <v>0.85700000000000065</v>
      </c>
      <c r="R894" s="206">
        <f t="shared" si="55"/>
        <v>0.875</v>
      </c>
    </row>
    <row r="895" spans="17:18">
      <c r="Q895" s="374">
        <f t="shared" si="54"/>
        <v>0.85800000000000065</v>
      </c>
      <c r="R895" s="206">
        <f t="shared" si="55"/>
        <v>0.875</v>
      </c>
    </row>
    <row r="896" spans="17:18">
      <c r="Q896" s="374">
        <f t="shared" si="54"/>
        <v>0.85900000000000065</v>
      </c>
      <c r="R896" s="206">
        <f t="shared" si="55"/>
        <v>0.875</v>
      </c>
    </row>
    <row r="897" spans="17:18">
      <c r="Q897" s="374">
        <f t="shared" si="54"/>
        <v>0.86000000000000065</v>
      </c>
      <c r="R897" s="206">
        <f t="shared" si="55"/>
        <v>0.875</v>
      </c>
    </row>
    <row r="898" spans="17:18">
      <c r="Q898" s="374">
        <f t="shared" si="54"/>
        <v>0.86100000000000065</v>
      </c>
      <c r="R898" s="206">
        <f t="shared" si="55"/>
        <v>0.875</v>
      </c>
    </row>
    <row r="899" spans="17:18">
      <c r="Q899" s="374">
        <f t="shared" si="54"/>
        <v>0.86200000000000065</v>
      </c>
      <c r="R899" s="206">
        <f t="shared" si="55"/>
        <v>0.875</v>
      </c>
    </row>
    <row r="900" spans="17:18">
      <c r="Q900" s="374">
        <f t="shared" si="54"/>
        <v>0.86300000000000066</v>
      </c>
      <c r="R900" s="206">
        <f t="shared" si="55"/>
        <v>0.875</v>
      </c>
    </row>
    <row r="901" spans="17:18">
      <c r="Q901" s="374">
        <f t="shared" si="54"/>
        <v>0.86400000000000066</v>
      </c>
      <c r="R901" s="206">
        <f t="shared" si="55"/>
        <v>0.875</v>
      </c>
    </row>
    <row r="902" spans="17:18">
      <c r="Q902" s="374">
        <f t="shared" si="54"/>
        <v>0.86500000000000066</v>
      </c>
      <c r="R902" s="206">
        <f t="shared" si="55"/>
        <v>0.875</v>
      </c>
    </row>
    <row r="903" spans="17:18">
      <c r="Q903" s="374">
        <f t="shared" si="54"/>
        <v>0.86600000000000066</v>
      </c>
      <c r="R903" s="206">
        <f t="shared" si="55"/>
        <v>0.875</v>
      </c>
    </row>
    <row r="904" spans="17:18">
      <c r="Q904" s="374">
        <f t="shared" si="54"/>
        <v>0.86700000000000066</v>
      </c>
      <c r="R904" s="206">
        <f t="shared" si="55"/>
        <v>0.875</v>
      </c>
    </row>
    <row r="905" spans="17:18">
      <c r="Q905" s="374">
        <f t="shared" si="54"/>
        <v>0.86800000000000066</v>
      </c>
      <c r="R905" s="206">
        <f t="shared" si="55"/>
        <v>0.875</v>
      </c>
    </row>
    <row r="906" spans="17:18">
      <c r="Q906" s="374">
        <f t="shared" si="54"/>
        <v>0.86900000000000066</v>
      </c>
      <c r="R906" s="206">
        <f t="shared" si="55"/>
        <v>0.875</v>
      </c>
    </row>
    <row r="907" spans="17:18">
      <c r="Q907" s="374">
        <f t="shared" si="54"/>
        <v>0.87000000000000066</v>
      </c>
      <c r="R907" s="206">
        <f t="shared" si="55"/>
        <v>0.875</v>
      </c>
    </row>
    <row r="908" spans="17:18">
      <c r="Q908" s="374">
        <f t="shared" si="54"/>
        <v>0.87100000000000066</v>
      </c>
      <c r="R908" s="206">
        <f t="shared" si="55"/>
        <v>0.875</v>
      </c>
    </row>
    <row r="909" spans="17:18">
      <c r="Q909" s="374">
        <f t="shared" si="54"/>
        <v>0.87200000000000066</v>
      </c>
      <c r="R909" s="206">
        <f t="shared" si="55"/>
        <v>0.875</v>
      </c>
    </row>
    <row r="910" spans="17:18">
      <c r="Q910" s="374">
        <f t="shared" si="54"/>
        <v>0.87300000000000066</v>
      </c>
      <c r="R910" s="206">
        <f t="shared" si="55"/>
        <v>0.875</v>
      </c>
    </row>
    <row r="911" spans="17:18">
      <c r="Q911" s="374">
        <f t="shared" si="54"/>
        <v>0.87400000000000067</v>
      </c>
      <c r="R911" s="206">
        <f t="shared" si="55"/>
        <v>0.875</v>
      </c>
    </row>
    <row r="912" spans="17:18">
      <c r="Q912" s="374">
        <f t="shared" si="54"/>
        <v>0.87500000000000067</v>
      </c>
      <c r="R912" s="206">
        <f t="shared" si="55"/>
        <v>0.875</v>
      </c>
    </row>
    <row r="913" spans="17:18">
      <c r="Q913" s="374">
        <f t="shared" si="54"/>
        <v>0.87600000000000067</v>
      </c>
      <c r="R913" s="297">
        <v>1</v>
      </c>
    </row>
    <row r="914" spans="17:18">
      <c r="Q914" s="374">
        <f t="shared" si="54"/>
        <v>0.87700000000000067</v>
      </c>
      <c r="R914" s="297">
        <v>1</v>
      </c>
    </row>
    <row r="915" spans="17:18">
      <c r="Q915" s="374">
        <f t="shared" si="54"/>
        <v>0.87800000000000067</v>
      </c>
      <c r="R915" s="297">
        <v>1</v>
      </c>
    </row>
    <row r="916" spans="17:18">
      <c r="Q916" s="374">
        <f t="shared" si="54"/>
        <v>0.87900000000000067</v>
      </c>
      <c r="R916" s="297">
        <v>1</v>
      </c>
    </row>
    <row r="917" spans="17:18">
      <c r="Q917" s="374">
        <f t="shared" si="54"/>
        <v>0.88000000000000067</v>
      </c>
      <c r="R917" s="297">
        <v>1</v>
      </c>
    </row>
    <row r="918" spans="17:18">
      <c r="Q918" s="374">
        <f t="shared" si="54"/>
        <v>0.88100000000000067</v>
      </c>
      <c r="R918" s="297">
        <v>1</v>
      </c>
    </row>
    <row r="919" spans="17:18">
      <c r="Q919" s="374">
        <f t="shared" si="54"/>
        <v>0.88200000000000067</v>
      </c>
      <c r="R919" s="297">
        <v>1</v>
      </c>
    </row>
    <row r="920" spans="17:18">
      <c r="Q920" s="374">
        <f t="shared" si="54"/>
        <v>0.88300000000000067</v>
      </c>
      <c r="R920" s="297">
        <v>1</v>
      </c>
    </row>
    <row r="921" spans="17:18">
      <c r="Q921" s="374">
        <f t="shared" si="54"/>
        <v>0.88400000000000067</v>
      </c>
      <c r="R921" s="297">
        <v>1</v>
      </c>
    </row>
    <row r="922" spans="17:18">
      <c r="Q922" s="374">
        <f t="shared" si="54"/>
        <v>0.88500000000000068</v>
      </c>
      <c r="R922" s="297">
        <v>1</v>
      </c>
    </row>
    <row r="923" spans="17:18">
      <c r="Q923" s="374">
        <f t="shared" si="54"/>
        <v>0.88600000000000068</v>
      </c>
      <c r="R923" s="297">
        <v>1</v>
      </c>
    </row>
    <row r="924" spans="17:18">
      <c r="Q924" s="374">
        <f t="shared" si="54"/>
        <v>0.88700000000000068</v>
      </c>
      <c r="R924" s="297">
        <v>1</v>
      </c>
    </row>
    <row r="925" spans="17:18">
      <c r="Q925" s="374">
        <f t="shared" si="54"/>
        <v>0.88800000000000068</v>
      </c>
      <c r="R925" s="297">
        <v>1</v>
      </c>
    </row>
    <row r="926" spans="17:18">
      <c r="Q926" s="374">
        <f t="shared" si="54"/>
        <v>0.88900000000000068</v>
      </c>
      <c r="R926" s="297">
        <v>1</v>
      </c>
    </row>
    <row r="927" spans="17:18">
      <c r="Q927" s="374">
        <f t="shared" si="54"/>
        <v>0.89000000000000068</v>
      </c>
      <c r="R927" s="297">
        <v>1</v>
      </c>
    </row>
    <row r="928" spans="17:18">
      <c r="Q928" s="374">
        <f t="shared" si="54"/>
        <v>0.89100000000000068</v>
      </c>
      <c r="R928" s="297">
        <v>1</v>
      </c>
    </row>
    <row r="929" spans="17:18">
      <c r="Q929" s="374">
        <f t="shared" si="54"/>
        <v>0.89200000000000068</v>
      </c>
      <c r="R929" s="297">
        <v>1</v>
      </c>
    </row>
    <row r="930" spans="17:18">
      <c r="Q930" s="374">
        <f t="shared" si="54"/>
        <v>0.89300000000000068</v>
      </c>
      <c r="R930" s="297">
        <v>1</v>
      </c>
    </row>
    <row r="931" spans="17:18">
      <c r="Q931" s="374">
        <f t="shared" si="54"/>
        <v>0.89400000000000068</v>
      </c>
      <c r="R931" s="297">
        <v>1</v>
      </c>
    </row>
    <row r="932" spans="17:18">
      <c r="Q932" s="374">
        <f t="shared" si="54"/>
        <v>0.89500000000000068</v>
      </c>
      <c r="R932" s="297">
        <v>1</v>
      </c>
    </row>
    <row r="933" spans="17:18">
      <c r="Q933" s="374">
        <f t="shared" si="54"/>
        <v>0.89600000000000068</v>
      </c>
      <c r="R933" s="297">
        <v>1</v>
      </c>
    </row>
    <row r="934" spans="17:18">
      <c r="Q934" s="374">
        <f t="shared" si="54"/>
        <v>0.89700000000000069</v>
      </c>
      <c r="R934" s="297">
        <v>1</v>
      </c>
    </row>
    <row r="935" spans="17:18">
      <c r="Q935" s="374">
        <f t="shared" ref="Q935:Q998" si="56">Q934+0.001</f>
        <v>0.89800000000000069</v>
      </c>
      <c r="R935" s="297">
        <v>1</v>
      </c>
    </row>
    <row r="936" spans="17:18">
      <c r="Q936" s="374">
        <f t="shared" si="56"/>
        <v>0.89900000000000069</v>
      </c>
      <c r="R936" s="297">
        <v>1</v>
      </c>
    </row>
    <row r="937" spans="17:18">
      <c r="Q937" s="374">
        <f t="shared" si="56"/>
        <v>0.90000000000000069</v>
      </c>
      <c r="R937" s="297">
        <v>1</v>
      </c>
    </row>
    <row r="938" spans="17:18">
      <c r="Q938" s="374">
        <f t="shared" si="56"/>
        <v>0.90100000000000069</v>
      </c>
      <c r="R938" s="297">
        <v>1</v>
      </c>
    </row>
    <row r="939" spans="17:18">
      <c r="Q939" s="374">
        <f t="shared" si="56"/>
        <v>0.90200000000000069</v>
      </c>
      <c r="R939" s="297">
        <v>1</v>
      </c>
    </row>
    <row r="940" spans="17:18">
      <c r="Q940" s="374">
        <f t="shared" si="56"/>
        <v>0.90300000000000069</v>
      </c>
      <c r="R940" s="297">
        <v>1</v>
      </c>
    </row>
    <row r="941" spans="17:18">
      <c r="Q941" s="374">
        <f t="shared" si="56"/>
        <v>0.90400000000000069</v>
      </c>
      <c r="R941" s="297">
        <v>1</v>
      </c>
    </row>
    <row r="942" spans="17:18">
      <c r="Q942" s="374">
        <f t="shared" si="56"/>
        <v>0.90500000000000069</v>
      </c>
      <c r="R942" s="297">
        <v>1</v>
      </c>
    </row>
    <row r="943" spans="17:18">
      <c r="Q943" s="374">
        <f t="shared" si="56"/>
        <v>0.90600000000000069</v>
      </c>
      <c r="R943" s="297">
        <v>1</v>
      </c>
    </row>
    <row r="944" spans="17:18">
      <c r="Q944" s="374">
        <f t="shared" si="56"/>
        <v>0.90700000000000069</v>
      </c>
      <c r="R944" s="297">
        <v>1</v>
      </c>
    </row>
    <row r="945" spans="17:18">
      <c r="Q945" s="374">
        <f t="shared" si="56"/>
        <v>0.9080000000000007</v>
      </c>
      <c r="R945" s="297">
        <v>1</v>
      </c>
    </row>
    <row r="946" spans="17:18">
      <c r="Q946" s="374">
        <f t="shared" si="56"/>
        <v>0.9090000000000007</v>
      </c>
      <c r="R946" s="297">
        <v>1</v>
      </c>
    </row>
    <row r="947" spans="17:18">
      <c r="Q947" s="374">
        <f t="shared" si="56"/>
        <v>0.9100000000000007</v>
      </c>
      <c r="R947" s="297">
        <v>1</v>
      </c>
    </row>
    <row r="948" spans="17:18">
      <c r="Q948" s="374">
        <f t="shared" si="56"/>
        <v>0.9110000000000007</v>
      </c>
      <c r="R948" s="297">
        <v>1</v>
      </c>
    </row>
    <row r="949" spans="17:18">
      <c r="Q949" s="374">
        <f t="shared" si="56"/>
        <v>0.9120000000000007</v>
      </c>
      <c r="R949" s="297">
        <v>1</v>
      </c>
    </row>
    <row r="950" spans="17:18">
      <c r="Q950" s="374">
        <f t="shared" si="56"/>
        <v>0.9130000000000007</v>
      </c>
      <c r="R950" s="297">
        <v>1</v>
      </c>
    </row>
    <row r="951" spans="17:18">
      <c r="Q951" s="374">
        <f t="shared" si="56"/>
        <v>0.9140000000000007</v>
      </c>
      <c r="R951" s="297">
        <v>1</v>
      </c>
    </row>
    <row r="952" spans="17:18">
      <c r="Q952" s="374">
        <f t="shared" si="56"/>
        <v>0.9150000000000007</v>
      </c>
      <c r="R952" s="297">
        <v>1</v>
      </c>
    </row>
    <row r="953" spans="17:18">
      <c r="Q953" s="374">
        <f t="shared" si="56"/>
        <v>0.9160000000000007</v>
      </c>
      <c r="R953" s="297">
        <v>1</v>
      </c>
    </row>
    <row r="954" spans="17:18">
      <c r="Q954" s="374">
        <f t="shared" si="56"/>
        <v>0.9170000000000007</v>
      </c>
      <c r="R954" s="297">
        <v>1</v>
      </c>
    </row>
    <row r="955" spans="17:18">
      <c r="Q955" s="374">
        <f t="shared" si="56"/>
        <v>0.9180000000000007</v>
      </c>
      <c r="R955" s="297">
        <v>1</v>
      </c>
    </row>
    <row r="956" spans="17:18">
      <c r="Q956" s="374">
        <f t="shared" si="56"/>
        <v>0.91900000000000071</v>
      </c>
      <c r="R956" s="297">
        <v>1</v>
      </c>
    </row>
    <row r="957" spans="17:18">
      <c r="Q957" s="374">
        <f t="shared" si="56"/>
        <v>0.92000000000000071</v>
      </c>
      <c r="R957" s="297">
        <v>1</v>
      </c>
    </row>
    <row r="958" spans="17:18">
      <c r="Q958" s="374">
        <f t="shared" si="56"/>
        <v>0.92100000000000071</v>
      </c>
      <c r="R958" s="297">
        <v>1</v>
      </c>
    </row>
    <row r="959" spans="17:18">
      <c r="Q959" s="374">
        <f t="shared" si="56"/>
        <v>0.92200000000000071</v>
      </c>
      <c r="R959" s="297">
        <v>1</v>
      </c>
    </row>
    <row r="960" spans="17:18">
      <c r="Q960" s="374">
        <f t="shared" si="56"/>
        <v>0.92300000000000071</v>
      </c>
      <c r="R960" s="297">
        <v>1</v>
      </c>
    </row>
    <row r="961" spans="17:18">
      <c r="Q961" s="374">
        <f t="shared" si="56"/>
        <v>0.92400000000000071</v>
      </c>
      <c r="R961" s="297">
        <v>1</v>
      </c>
    </row>
    <row r="962" spans="17:18">
      <c r="Q962" s="374">
        <f t="shared" si="56"/>
        <v>0.92500000000000071</v>
      </c>
      <c r="R962" s="297">
        <v>1</v>
      </c>
    </row>
    <row r="963" spans="17:18">
      <c r="Q963" s="374">
        <f t="shared" si="56"/>
        <v>0.92600000000000071</v>
      </c>
      <c r="R963" s="297">
        <v>1</v>
      </c>
    </row>
    <row r="964" spans="17:18">
      <c r="Q964" s="374">
        <f t="shared" si="56"/>
        <v>0.92700000000000071</v>
      </c>
      <c r="R964" s="297">
        <v>1</v>
      </c>
    </row>
    <row r="965" spans="17:18">
      <c r="Q965" s="374">
        <f t="shared" si="56"/>
        <v>0.92800000000000071</v>
      </c>
      <c r="R965" s="297">
        <v>1</v>
      </c>
    </row>
    <row r="966" spans="17:18">
      <c r="Q966" s="374">
        <f t="shared" si="56"/>
        <v>0.92900000000000071</v>
      </c>
      <c r="R966" s="297">
        <v>1</v>
      </c>
    </row>
    <row r="967" spans="17:18">
      <c r="Q967" s="374">
        <f t="shared" si="56"/>
        <v>0.93000000000000071</v>
      </c>
      <c r="R967" s="297">
        <v>1</v>
      </c>
    </row>
    <row r="968" spans="17:18">
      <c r="Q968" s="374">
        <f t="shared" si="56"/>
        <v>0.93100000000000072</v>
      </c>
      <c r="R968" s="297">
        <v>1</v>
      </c>
    </row>
    <row r="969" spans="17:18">
      <c r="Q969" s="374">
        <f t="shared" si="56"/>
        <v>0.93200000000000072</v>
      </c>
      <c r="R969" s="297">
        <v>1</v>
      </c>
    </row>
    <row r="970" spans="17:18">
      <c r="Q970" s="374">
        <f t="shared" si="56"/>
        <v>0.93300000000000072</v>
      </c>
      <c r="R970" s="297">
        <v>1</v>
      </c>
    </row>
    <row r="971" spans="17:18">
      <c r="Q971" s="374">
        <f t="shared" si="56"/>
        <v>0.93400000000000072</v>
      </c>
      <c r="R971" s="297">
        <v>1</v>
      </c>
    </row>
    <row r="972" spans="17:18">
      <c r="Q972" s="374">
        <f t="shared" si="56"/>
        <v>0.93500000000000072</v>
      </c>
      <c r="R972" s="297">
        <v>1</v>
      </c>
    </row>
    <row r="973" spans="17:18">
      <c r="Q973" s="374">
        <f t="shared" si="56"/>
        <v>0.93600000000000072</v>
      </c>
      <c r="R973" s="297">
        <v>1</v>
      </c>
    </row>
    <row r="974" spans="17:18">
      <c r="Q974" s="374">
        <f t="shared" si="56"/>
        <v>0.93700000000000072</v>
      </c>
      <c r="R974" s="297">
        <v>1</v>
      </c>
    </row>
    <row r="975" spans="17:18">
      <c r="Q975" s="374">
        <f t="shared" si="56"/>
        <v>0.93800000000000072</v>
      </c>
      <c r="R975" s="297">
        <v>1</v>
      </c>
    </row>
    <row r="976" spans="17:18">
      <c r="Q976" s="374">
        <f t="shared" si="56"/>
        <v>0.93900000000000072</v>
      </c>
      <c r="R976" s="297">
        <v>1</v>
      </c>
    </row>
    <row r="977" spans="17:18">
      <c r="Q977" s="374">
        <f t="shared" si="56"/>
        <v>0.94000000000000072</v>
      </c>
      <c r="R977" s="297">
        <v>1</v>
      </c>
    </row>
    <row r="978" spans="17:18">
      <c r="Q978" s="374">
        <f t="shared" si="56"/>
        <v>0.94100000000000072</v>
      </c>
      <c r="R978" s="297">
        <v>1</v>
      </c>
    </row>
    <row r="979" spans="17:18">
      <c r="Q979" s="374">
        <f t="shared" si="56"/>
        <v>0.94200000000000073</v>
      </c>
      <c r="R979" s="297">
        <v>1</v>
      </c>
    </row>
    <row r="980" spans="17:18">
      <c r="Q980" s="374">
        <f t="shared" si="56"/>
        <v>0.94300000000000073</v>
      </c>
      <c r="R980" s="297">
        <v>1</v>
      </c>
    </row>
    <row r="981" spans="17:18">
      <c r="Q981" s="374">
        <f t="shared" si="56"/>
        <v>0.94400000000000073</v>
      </c>
      <c r="R981" s="297">
        <v>1</v>
      </c>
    </row>
    <row r="982" spans="17:18">
      <c r="Q982" s="374">
        <f t="shared" si="56"/>
        <v>0.94500000000000073</v>
      </c>
      <c r="R982" s="297">
        <v>1</v>
      </c>
    </row>
    <row r="983" spans="17:18">
      <c r="Q983" s="374">
        <f t="shared" si="56"/>
        <v>0.94600000000000073</v>
      </c>
      <c r="R983" s="297">
        <v>1</v>
      </c>
    </row>
    <row r="984" spans="17:18">
      <c r="Q984" s="374">
        <f t="shared" si="56"/>
        <v>0.94700000000000073</v>
      </c>
      <c r="R984" s="297">
        <v>1</v>
      </c>
    </row>
    <row r="985" spans="17:18">
      <c r="Q985" s="374">
        <f t="shared" si="56"/>
        <v>0.94800000000000073</v>
      </c>
      <c r="R985" s="297">
        <v>1</v>
      </c>
    </row>
    <row r="986" spans="17:18">
      <c r="Q986" s="374">
        <f t="shared" si="56"/>
        <v>0.94900000000000073</v>
      </c>
      <c r="R986" s="297">
        <v>1</v>
      </c>
    </row>
    <row r="987" spans="17:18">
      <c r="Q987" s="374">
        <f t="shared" si="56"/>
        <v>0.95000000000000073</v>
      </c>
      <c r="R987" s="297">
        <v>1</v>
      </c>
    </row>
    <row r="988" spans="17:18">
      <c r="Q988" s="374">
        <f t="shared" si="56"/>
        <v>0.95100000000000073</v>
      </c>
      <c r="R988" s="297">
        <v>1</v>
      </c>
    </row>
    <row r="989" spans="17:18">
      <c r="Q989" s="374">
        <f t="shared" si="56"/>
        <v>0.95200000000000073</v>
      </c>
      <c r="R989" s="297">
        <v>1</v>
      </c>
    </row>
    <row r="990" spans="17:18">
      <c r="Q990" s="374">
        <f t="shared" si="56"/>
        <v>0.95300000000000074</v>
      </c>
      <c r="R990" s="297">
        <v>1</v>
      </c>
    </row>
    <row r="991" spans="17:18">
      <c r="Q991" s="374">
        <f t="shared" si="56"/>
        <v>0.95400000000000074</v>
      </c>
      <c r="R991" s="297">
        <v>1</v>
      </c>
    </row>
    <row r="992" spans="17:18">
      <c r="Q992" s="374">
        <f t="shared" si="56"/>
        <v>0.95500000000000074</v>
      </c>
      <c r="R992" s="297">
        <v>1</v>
      </c>
    </row>
    <row r="993" spans="17:18">
      <c r="Q993" s="374">
        <f t="shared" si="56"/>
        <v>0.95600000000000074</v>
      </c>
      <c r="R993" s="297">
        <v>1</v>
      </c>
    </row>
    <row r="994" spans="17:18">
      <c r="Q994" s="374">
        <f t="shared" si="56"/>
        <v>0.95700000000000074</v>
      </c>
      <c r="R994" s="297">
        <v>1</v>
      </c>
    </row>
    <row r="995" spans="17:18">
      <c r="Q995" s="374">
        <f t="shared" si="56"/>
        <v>0.95800000000000074</v>
      </c>
      <c r="R995" s="297">
        <v>1</v>
      </c>
    </row>
    <row r="996" spans="17:18">
      <c r="Q996" s="374">
        <f t="shared" si="56"/>
        <v>0.95900000000000074</v>
      </c>
      <c r="R996" s="297">
        <v>1</v>
      </c>
    </row>
    <row r="997" spans="17:18">
      <c r="Q997" s="374">
        <f t="shared" si="56"/>
        <v>0.96000000000000074</v>
      </c>
      <c r="R997" s="297">
        <v>1</v>
      </c>
    </row>
    <row r="998" spans="17:18">
      <c r="Q998" s="374">
        <f t="shared" si="56"/>
        <v>0.96100000000000074</v>
      </c>
      <c r="R998" s="297">
        <v>1</v>
      </c>
    </row>
    <row r="999" spans="17:18">
      <c r="Q999" s="374">
        <f t="shared" ref="Q999:Q1062" si="57">Q998+0.001</f>
        <v>0.96200000000000074</v>
      </c>
      <c r="R999" s="297">
        <v>1</v>
      </c>
    </row>
    <row r="1000" spans="17:18">
      <c r="Q1000" s="374">
        <f t="shared" si="57"/>
        <v>0.96300000000000074</v>
      </c>
      <c r="R1000" s="297">
        <v>1</v>
      </c>
    </row>
    <row r="1001" spans="17:18">
      <c r="Q1001" s="374">
        <f t="shared" si="57"/>
        <v>0.96400000000000075</v>
      </c>
      <c r="R1001" s="297">
        <v>1</v>
      </c>
    </row>
    <row r="1002" spans="17:18">
      <c r="Q1002" s="374">
        <f t="shared" si="57"/>
        <v>0.96500000000000075</v>
      </c>
      <c r="R1002" s="297">
        <v>1</v>
      </c>
    </row>
    <row r="1003" spans="17:18">
      <c r="Q1003" s="374">
        <f t="shared" si="57"/>
        <v>0.96600000000000075</v>
      </c>
      <c r="R1003" s="297">
        <v>1</v>
      </c>
    </row>
    <row r="1004" spans="17:18">
      <c r="Q1004" s="374">
        <f t="shared" si="57"/>
        <v>0.96700000000000075</v>
      </c>
      <c r="R1004" s="297">
        <v>1</v>
      </c>
    </row>
    <row r="1005" spans="17:18">
      <c r="Q1005" s="374">
        <f t="shared" si="57"/>
        <v>0.96800000000000075</v>
      </c>
      <c r="R1005" s="297">
        <v>1</v>
      </c>
    </row>
    <row r="1006" spans="17:18">
      <c r="Q1006" s="374">
        <f t="shared" si="57"/>
        <v>0.96900000000000075</v>
      </c>
      <c r="R1006" s="297">
        <v>1</v>
      </c>
    </row>
    <row r="1007" spans="17:18">
      <c r="Q1007" s="374">
        <f t="shared" si="57"/>
        <v>0.97000000000000075</v>
      </c>
      <c r="R1007" s="297">
        <v>1</v>
      </c>
    </row>
    <row r="1008" spans="17:18">
      <c r="Q1008" s="374">
        <f t="shared" si="57"/>
        <v>0.97100000000000075</v>
      </c>
      <c r="R1008" s="297">
        <v>1</v>
      </c>
    </row>
    <row r="1009" spans="17:18">
      <c r="Q1009" s="374">
        <f t="shared" si="57"/>
        <v>0.97200000000000075</v>
      </c>
      <c r="R1009" s="297">
        <v>1</v>
      </c>
    </row>
    <row r="1010" spans="17:18">
      <c r="Q1010" s="374">
        <f t="shared" si="57"/>
        <v>0.97300000000000075</v>
      </c>
      <c r="R1010" s="297">
        <v>1</v>
      </c>
    </row>
    <row r="1011" spans="17:18">
      <c r="Q1011" s="374">
        <f t="shared" si="57"/>
        <v>0.97400000000000075</v>
      </c>
      <c r="R1011" s="297">
        <v>1</v>
      </c>
    </row>
    <row r="1012" spans="17:18">
      <c r="Q1012" s="374">
        <f t="shared" si="57"/>
        <v>0.97500000000000075</v>
      </c>
      <c r="R1012" s="297">
        <v>1</v>
      </c>
    </row>
    <row r="1013" spans="17:18">
      <c r="Q1013" s="374">
        <f t="shared" si="57"/>
        <v>0.97600000000000076</v>
      </c>
      <c r="R1013" s="297">
        <v>1</v>
      </c>
    </row>
    <row r="1014" spans="17:18">
      <c r="Q1014" s="374">
        <f t="shared" si="57"/>
        <v>0.97700000000000076</v>
      </c>
      <c r="R1014" s="297">
        <v>1</v>
      </c>
    </row>
    <row r="1015" spans="17:18">
      <c r="Q1015" s="374">
        <f t="shared" si="57"/>
        <v>0.97800000000000076</v>
      </c>
      <c r="R1015" s="297">
        <v>1</v>
      </c>
    </row>
    <row r="1016" spans="17:18">
      <c r="Q1016" s="374">
        <f t="shared" si="57"/>
        <v>0.97900000000000076</v>
      </c>
      <c r="R1016" s="297">
        <v>1</v>
      </c>
    </row>
    <row r="1017" spans="17:18">
      <c r="Q1017" s="374">
        <f t="shared" si="57"/>
        <v>0.98000000000000076</v>
      </c>
      <c r="R1017" s="297">
        <v>1</v>
      </c>
    </row>
    <row r="1018" spans="17:18">
      <c r="Q1018" s="374">
        <f t="shared" si="57"/>
        <v>0.98100000000000076</v>
      </c>
      <c r="R1018" s="297">
        <v>1</v>
      </c>
    </row>
    <row r="1019" spans="17:18">
      <c r="Q1019" s="374">
        <f t="shared" si="57"/>
        <v>0.98200000000000076</v>
      </c>
      <c r="R1019" s="297">
        <v>1</v>
      </c>
    </row>
    <row r="1020" spans="17:18">
      <c r="Q1020" s="374">
        <f t="shared" si="57"/>
        <v>0.98300000000000076</v>
      </c>
      <c r="R1020" s="297">
        <v>1</v>
      </c>
    </row>
    <row r="1021" spans="17:18">
      <c r="Q1021" s="374">
        <f t="shared" si="57"/>
        <v>0.98400000000000076</v>
      </c>
      <c r="R1021" s="297">
        <v>1</v>
      </c>
    </row>
    <row r="1022" spans="17:18">
      <c r="Q1022" s="374">
        <f t="shared" si="57"/>
        <v>0.98500000000000076</v>
      </c>
      <c r="R1022" s="297">
        <v>1</v>
      </c>
    </row>
    <row r="1023" spans="17:18">
      <c r="Q1023" s="374">
        <f t="shared" si="57"/>
        <v>0.98600000000000076</v>
      </c>
      <c r="R1023" s="297">
        <v>1</v>
      </c>
    </row>
    <row r="1024" spans="17:18">
      <c r="Q1024" s="374">
        <f t="shared" si="57"/>
        <v>0.98700000000000077</v>
      </c>
      <c r="R1024" s="297">
        <v>1</v>
      </c>
    </row>
    <row r="1025" spans="17:18">
      <c r="Q1025" s="374">
        <f t="shared" si="57"/>
        <v>0.98800000000000077</v>
      </c>
      <c r="R1025" s="297">
        <v>1</v>
      </c>
    </row>
    <row r="1026" spans="17:18">
      <c r="Q1026" s="374">
        <f t="shared" si="57"/>
        <v>0.98900000000000077</v>
      </c>
      <c r="R1026" s="297">
        <v>1</v>
      </c>
    </row>
    <row r="1027" spans="17:18">
      <c r="Q1027" s="374">
        <f t="shared" si="57"/>
        <v>0.99000000000000077</v>
      </c>
      <c r="R1027" s="297">
        <v>1</v>
      </c>
    </row>
    <row r="1028" spans="17:18">
      <c r="Q1028" s="374">
        <f t="shared" si="57"/>
        <v>0.99100000000000077</v>
      </c>
      <c r="R1028" s="297">
        <v>1</v>
      </c>
    </row>
    <row r="1029" spans="17:18">
      <c r="Q1029" s="374">
        <f t="shared" si="57"/>
        <v>0.99200000000000077</v>
      </c>
      <c r="R1029" s="297">
        <v>1</v>
      </c>
    </row>
    <row r="1030" spans="17:18">
      <c r="Q1030" s="374">
        <f t="shared" si="57"/>
        <v>0.99300000000000077</v>
      </c>
      <c r="R1030" s="297">
        <v>1</v>
      </c>
    </row>
    <row r="1031" spans="17:18">
      <c r="Q1031" s="374">
        <f t="shared" si="57"/>
        <v>0.99400000000000077</v>
      </c>
      <c r="R1031" s="297">
        <v>1</v>
      </c>
    </row>
    <row r="1032" spans="17:18">
      <c r="Q1032" s="374">
        <f t="shared" si="57"/>
        <v>0.99500000000000077</v>
      </c>
      <c r="R1032" s="297">
        <v>1</v>
      </c>
    </row>
    <row r="1033" spans="17:18">
      <c r="Q1033" s="374">
        <f t="shared" si="57"/>
        <v>0.99600000000000077</v>
      </c>
      <c r="R1033" s="297">
        <v>1</v>
      </c>
    </row>
    <row r="1034" spans="17:18">
      <c r="Q1034" s="374">
        <f t="shared" si="57"/>
        <v>0.99700000000000077</v>
      </c>
      <c r="R1034" s="297">
        <v>1</v>
      </c>
    </row>
    <row r="1035" spans="17:18">
      <c r="Q1035" s="374">
        <f t="shared" si="57"/>
        <v>0.99800000000000078</v>
      </c>
      <c r="R1035" s="297">
        <v>1</v>
      </c>
    </row>
    <row r="1036" spans="17:18">
      <c r="Q1036" s="374">
        <f t="shared" si="57"/>
        <v>0.99900000000000078</v>
      </c>
      <c r="R1036" s="297">
        <v>1</v>
      </c>
    </row>
    <row r="1037" spans="17:18">
      <c r="Q1037" s="374">
        <f t="shared" si="57"/>
        <v>1.0000000000000007</v>
      </c>
      <c r="R1037" s="297">
        <v>1</v>
      </c>
    </row>
    <row r="1038" spans="17:18">
      <c r="Q1038" s="374">
        <f t="shared" si="57"/>
        <v>1.0010000000000006</v>
      </c>
      <c r="R1038" s="206">
        <v>1.125</v>
      </c>
    </row>
    <row r="1039" spans="17:18">
      <c r="Q1039" s="374">
        <f t="shared" si="57"/>
        <v>1.0020000000000004</v>
      </c>
      <c r="R1039" s="206">
        <v>1.125</v>
      </c>
    </row>
    <row r="1040" spans="17:18">
      <c r="Q1040" s="374">
        <f t="shared" si="57"/>
        <v>1.0030000000000003</v>
      </c>
      <c r="R1040" s="206">
        <v>1.125</v>
      </c>
    </row>
    <row r="1041" spans="17:18">
      <c r="Q1041" s="374">
        <f t="shared" si="57"/>
        <v>1.0040000000000002</v>
      </c>
      <c r="R1041" s="206">
        <v>1.125</v>
      </c>
    </row>
    <row r="1042" spans="17:18">
      <c r="Q1042" s="374">
        <f t="shared" si="57"/>
        <v>1.0050000000000001</v>
      </c>
      <c r="R1042" s="206">
        <v>1.125</v>
      </c>
    </row>
    <row r="1043" spans="17:18">
      <c r="Q1043" s="374">
        <f t="shared" si="57"/>
        <v>1.006</v>
      </c>
      <c r="R1043" s="206">
        <v>1.125</v>
      </c>
    </row>
    <row r="1044" spans="17:18">
      <c r="Q1044" s="374">
        <f t="shared" si="57"/>
        <v>1.0069999999999999</v>
      </c>
      <c r="R1044" s="206">
        <v>1.125</v>
      </c>
    </row>
    <row r="1045" spans="17:18">
      <c r="Q1045" s="374">
        <f t="shared" si="57"/>
        <v>1.0079999999999998</v>
      </c>
      <c r="R1045" s="206">
        <v>1.125</v>
      </c>
    </row>
    <row r="1046" spans="17:18">
      <c r="Q1046" s="374">
        <f t="shared" si="57"/>
        <v>1.0089999999999997</v>
      </c>
      <c r="R1046" s="206">
        <v>1.125</v>
      </c>
    </row>
    <row r="1047" spans="17:18">
      <c r="Q1047" s="374">
        <f t="shared" si="57"/>
        <v>1.0099999999999996</v>
      </c>
      <c r="R1047" s="206">
        <v>1.125</v>
      </c>
    </row>
    <row r="1048" spans="17:18">
      <c r="Q1048" s="374">
        <f t="shared" si="57"/>
        <v>1.0109999999999995</v>
      </c>
      <c r="R1048" s="206">
        <v>1.125</v>
      </c>
    </row>
    <row r="1049" spans="17:18">
      <c r="Q1049" s="374">
        <f t="shared" si="57"/>
        <v>1.0119999999999993</v>
      </c>
      <c r="R1049" s="206">
        <v>1.125</v>
      </c>
    </row>
    <row r="1050" spans="17:18">
      <c r="Q1050" s="374">
        <f t="shared" si="57"/>
        <v>1.0129999999999992</v>
      </c>
      <c r="R1050" s="206">
        <v>1.125</v>
      </c>
    </row>
    <row r="1051" spans="17:18">
      <c r="Q1051" s="374">
        <f t="shared" si="57"/>
        <v>1.0139999999999991</v>
      </c>
      <c r="R1051" s="206">
        <v>1.125</v>
      </c>
    </row>
    <row r="1052" spans="17:18">
      <c r="Q1052" s="374">
        <f t="shared" si="57"/>
        <v>1.014999999999999</v>
      </c>
      <c r="R1052" s="206">
        <v>1.125</v>
      </c>
    </row>
    <row r="1053" spans="17:18">
      <c r="Q1053" s="374">
        <f t="shared" si="57"/>
        <v>1.0159999999999989</v>
      </c>
      <c r="R1053" s="206">
        <v>1.125</v>
      </c>
    </row>
    <row r="1054" spans="17:18">
      <c r="Q1054" s="374">
        <f t="shared" si="57"/>
        <v>1.0169999999999988</v>
      </c>
      <c r="R1054" s="206">
        <v>1.125</v>
      </c>
    </row>
    <row r="1055" spans="17:18">
      <c r="Q1055" s="374">
        <f t="shared" si="57"/>
        <v>1.0179999999999987</v>
      </c>
      <c r="R1055" s="206">
        <v>1.125</v>
      </c>
    </row>
    <row r="1056" spans="17:18">
      <c r="Q1056" s="374">
        <f t="shared" si="57"/>
        <v>1.0189999999999986</v>
      </c>
      <c r="R1056" s="206">
        <v>1.125</v>
      </c>
    </row>
    <row r="1057" spans="17:18">
      <c r="Q1057" s="374">
        <f t="shared" si="57"/>
        <v>1.0199999999999985</v>
      </c>
      <c r="R1057" s="206">
        <v>1.125</v>
      </c>
    </row>
    <row r="1058" spans="17:18">
      <c r="Q1058" s="374">
        <f t="shared" si="57"/>
        <v>1.0209999999999984</v>
      </c>
      <c r="R1058" s="206">
        <v>1.125</v>
      </c>
    </row>
    <row r="1059" spans="17:18">
      <c r="Q1059" s="374">
        <f t="shared" si="57"/>
        <v>1.0219999999999982</v>
      </c>
      <c r="R1059" s="206">
        <v>1.125</v>
      </c>
    </row>
    <row r="1060" spans="17:18">
      <c r="Q1060" s="374">
        <f t="shared" si="57"/>
        <v>1.0229999999999981</v>
      </c>
      <c r="R1060" s="206">
        <v>1.125</v>
      </c>
    </row>
    <row r="1061" spans="17:18">
      <c r="Q1061" s="374">
        <f t="shared" si="57"/>
        <v>1.023999999999998</v>
      </c>
      <c r="R1061" s="206">
        <v>1.125</v>
      </c>
    </row>
    <row r="1062" spans="17:18">
      <c r="Q1062" s="374">
        <f t="shared" si="57"/>
        <v>1.0249999999999979</v>
      </c>
      <c r="R1062" s="206">
        <v>1.125</v>
      </c>
    </row>
    <row r="1063" spans="17:18">
      <c r="Q1063" s="374">
        <f t="shared" ref="Q1063:Q1126" si="58">Q1062+0.001</f>
        <v>1.0259999999999978</v>
      </c>
      <c r="R1063" s="206">
        <v>1.125</v>
      </c>
    </row>
    <row r="1064" spans="17:18">
      <c r="Q1064" s="374">
        <f t="shared" si="58"/>
        <v>1.0269999999999977</v>
      </c>
      <c r="R1064" s="206">
        <v>1.125</v>
      </c>
    </row>
    <row r="1065" spans="17:18">
      <c r="Q1065" s="374">
        <f t="shared" si="58"/>
        <v>1.0279999999999976</v>
      </c>
      <c r="R1065" s="206">
        <v>1.125</v>
      </c>
    </row>
    <row r="1066" spans="17:18">
      <c r="Q1066" s="374">
        <f t="shared" si="58"/>
        <v>1.0289999999999975</v>
      </c>
      <c r="R1066" s="206">
        <v>1.125</v>
      </c>
    </row>
    <row r="1067" spans="17:18">
      <c r="Q1067" s="374">
        <f t="shared" si="58"/>
        <v>1.0299999999999974</v>
      </c>
      <c r="R1067" s="206">
        <v>1.125</v>
      </c>
    </row>
    <row r="1068" spans="17:18">
      <c r="Q1068" s="374">
        <f t="shared" si="58"/>
        <v>1.0309999999999973</v>
      </c>
      <c r="R1068" s="206">
        <v>1.125</v>
      </c>
    </row>
    <row r="1069" spans="17:18">
      <c r="Q1069" s="374">
        <f t="shared" si="58"/>
        <v>1.0319999999999971</v>
      </c>
      <c r="R1069" s="206">
        <v>1.125</v>
      </c>
    </row>
    <row r="1070" spans="17:18">
      <c r="Q1070" s="374">
        <f t="shared" si="58"/>
        <v>1.032999999999997</v>
      </c>
      <c r="R1070" s="206">
        <v>1.125</v>
      </c>
    </row>
    <row r="1071" spans="17:18">
      <c r="Q1071" s="374">
        <f t="shared" si="58"/>
        <v>1.0339999999999969</v>
      </c>
      <c r="R1071" s="206">
        <v>1.125</v>
      </c>
    </row>
    <row r="1072" spans="17:18">
      <c r="Q1072" s="374">
        <f t="shared" si="58"/>
        <v>1.0349999999999968</v>
      </c>
      <c r="R1072" s="206">
        <v>1.125</v>
      </c>
    </row>
    <row r="1073" spans="17:18">
      <c r="Q1073" s="374">
        <f t="shared" si="58"/>
        <v>1.0359999999999967</v>
      </c>
      <c r="R1073" s="206">
        <v>1.125</v>
      </c>
    </row>
    <row r="1074" spans="17:18">
      <c r="Q1074" s="374">
        <f t="shared" si="58"/>
        <v>1.0369999999999966</v>
      </c>
      <c r="R1074" s="206">
        <v>1.125</v>
      </c>
    </row>
    <row r="1075" spans="17:18">
      <c r="Q1075" s="374">
        <f t="shared" si="58"/>
        <v>1.0379999999999965</v>
      </c>
      <c r="R1075" s="206">
        <v>1.125</v>
      </c>
    </row>
    <row r="1076" spans="17:18">
      <c r="Q1076" s="374">
        <f t="shared" si="58"/>
        <v>1.0389999999999964</v>
      </c>
      <c r="R1076" s="206">
        <v>1.125</v>
      </c>
    </row>
    <row r="1077" spans="17:18">
      <c r="Q1077" s="374">
        <f t="shared" si="58"/>
        <v>1.0399999999999963</v>
      </c>
      <c r="R1077" s="206">
        <v>1.125</v>
      </c>
    </row>
    <row r="1078" spans="17:18">
      <c r="Q1078" s="374">
        <f t="shared" si="58"/>
        <v>1.0409999999999962</v>
      </c>
      <c r="R1078" s="206">
        <v>1.125</v>
      </c>
    </row>
    <row r="1079" spans="17:18">
      <c r="Q1079" s="374">
        <f t="shared" si="58"/>
        <v>1.041999999999996</v>
      </c>
      <c r="R1079" s="206">
        <v>1.125</v>
      </c>
    </row>
    <row r="1080" spans="17:18">
      <c r="Q1080" s="374">
        <f t="shared" si="58"/>
        <v>1.0429999999999959</v>
      </c>
      <c r="R1080" s="206">
        <v>1.125</v>
      </c>
    </row>
    <row r="1081" spans="17:18">
      <c r="Q1081" s="374">
        <f t="shared" si="58"/>
        <v>1.0439999999999958</v>
      </c>
      <c r="R1081" s="206">
        <v>1.125</v>
      </c>
    </row>
    <row r="1082" spans="17:18">
      <c r="Q1082" s="374">
        <f t="shared" si="58"/>
        <v>1.0449999999999957</v>
      </c>
      <c r="R1082" s="206">
        <v>1.125</v>
      </c>
    </row>
    <row r="1083" spans="17:18">
      <c r="Q1083" s="374">
        <f t="shared" si="58"/>
        <v>1.0459999999999956</v>
      </c>
      <c r="R1083" s="206">
        <v>1.125</v>
      </c>
    </row>
    <row r="1084" spans="17:18">
      <c r="Q1084" s="374">
        <f t="shared" si="58"/>
        <v>1.0469999999999955</v>
      </c>
      <c r="R1084" s="206">
        <v>1.125</v>
      </c>
    </row>
    <row r="1085" spans="17:18">
      <c r="Q1085" s="374">
        <f t="shared" si="58"/>
        <v>1.0479999999999954</v>
      </c>
      <c r="R1085" s="206">
        <v>1.125</v>
      </c>
    </row>
    <row r="1086" spans="17:18">
      <c r="Q1086" s="374">
        <f t="shared" si="58"/>
        <v>1.0489999999999953</v>
      </c>
      <c r="R1086" s="206">
        <v>1.125</v>
      </c>
    </row>
    <row r="1087" spans="17:18">
      <c r="Q1087" s="374">
        <f t="shared" si="58"/>
        <v>1.0499999999999952</v>
      </c>
      <c r="R1087" s="206">
        <v>1.125</v>
      </c>
    </row>
    <row r="1088" spans="17:18">
      <c r="Q1088" s="374">
        <f t="shared" si="58"/>
        <v>1.050999999999995</v>
      </c>
      <c r="R1088" s="206">
        <v>1.125</v>
      </c>
    </row>
    <row r="1089" spans="17:18">
      <c r="Q1089" s="374">
        <f t="shared" si="58"/>
        <v>1.0519999999999949</v>
      </c>
      <c r="R1089" s="206">
        <v>1.125</v>
      </c>
    </row>
    <row r="1090" spans="17:18">
      <c r="Q1090" s="374">
        <f t="shared" si="58"/>
        <v>1.0529999999999948</v>
      </c>
      <c r="R1090" s="206">
        <v>1.125</v>
      </c>
    </row>
    <row r="1091" spans="17:18">
      <c r="Q1091" s="374">
        <f t="shared" si="58"/>
        <v>1.0539999999999947</v>
      </c>
      <c r="R1091" s="206">
        <v>1.125</v>
      </c>
    </row>
    <row r="1092" spans="17:18">
      <c r="Q1092" s="374">
        <f t="shared" si="58"/>
        <v>1.0549999999999946</v>
      </c>
      <c r="R1092" s="206">
        <v>1.125</v>
      </c>
    </row>
    <row r="1093" spans="17:18">
      <c r="Q1093" s="374">
        <f t="shared" si="58"/>
        <v>1.0559999999999945</v>
      </c>
      <c r="R1093" s="206">
        <v>1.125</v>
      </c>
    </row>
    <row r="1094" spans="17:18">
      <c r="Q1094" s="374">
        <f t="shared" si="58"/>
        <v>1.0569999999999944</v>
      </c>
      <c r="R1094" s="206">
        <v>1.125</v>
      </c>
    </row>
    <row r="1095" spans="17:18">
      <c r="Q1095" s="374">
        <f t="shared" si="58"/>
        <v>1.0579999999999943</v>
      </c>
      <c r="R1095" s="206">
        <v>1.125</v>
      </c>
    </row>
    <row r="1096" spans="17:18">
      <c r="Q1096" s="374">
        <f t="shared" si="58"/>
        <v>1.0589999999999942</v>
      </c>
      <c r="R1096" s="206">
        <v>1.125</v>
      </c>
    </row>
    <row r="1097" spans="17:18">
      <c r="Q1097" s="374">
        <f t="shared" si="58"/>
        <v>1.0599999999999941</v>
      </c>
      <c r="R1097" s="206">
        <v>1.125</v>
      </c>
    </row>
    <row r="1098" spans="17:18">
      <c r="Q1098" s="374">
        <f t="shared" si="58"/>
        <v>1.0609999999999939</v>
      </c>
      <c r="R1098" s="206">
        <v>1.125</v>
      </c>
    </row>
    <row r="1099" spans="17:18">
      <c r="Q1099" s="374">
        <f t="shared" si="58"/>
        <v>1.0619999999999938</v>
      </c>
      <c r="R1099" s="206">
        <v>1.125</v>
      </c>
    </row>
    <row r="1100" spans="17:18">
      <c r="Q1100" s="374">
        <f t="shared" si="58"/>
        <v>1.0629999999999937</v>
      </c>
      <c r="R1100" s="206">
        <v>1.125</v>
      </c>
    </row>
    <row r="1101" spans="17:18">
      <c r="Q1101" s="374">
        <f t="shared" si="58"/>
        <v>1.0639999999999936</v>
      </c>
      <c r="R1101" s="206">
        <v>1.125</v>
      </c>
    </row>
    <row r="1102" spans="17:18">
      <c r="Q1102" s="374">
        <f t="shared" si="58"/>
        <v>1.0649999999999935</v>
      </c>
      <c r="R1102" s="206">
        <v>1.125</v>
      </c>
    </row>
    <row r="1103" spans="17:18">
      <c r="Q1103" s="374">
        <f t="shared" si="58"/>
        <v>1.0659999999999934</v>
      </c>
      <c r="R1103" s="206">
        <v>1.125</v>
      </c>
    </row>
    <row r="1104" spans="17:18">
      <c r="Q1104" s="374">
        <f t="shared" si="58"/>
        <v>1.0669999999999933</v>
      </c>
      <c r="R1104" s="206">
        <v>1.125</v>
      </c>
    </row>
    <row r="1105" spans="17:18">
      <c r="Q1105" s="374">
        <f t="shared" si="58"/>
        <v>1.0679999999999932</v>
      </c>
      <c r="R1105" s="206">
        <v>1.125</v>
      </c>
    </row>
    <row r="1106" spans="17:18">
      <c r="Q1106" s="374">
        <f t="shared" si="58"/>
        <v>1.0689999999999931</v>
      </c>
      <c r="R1106" s="206">
        <v>1.125</v>
      </c>
    </row>
    <row r="1107" spans="17:18">
      <c r="Q1107" s="374">
        <f t="shared" si="58"/>
        <v>1.069999999999993</v>
      </c>
      <c r="R1107" s="206">
        <v>1.125</v>
      </c>
    </row>
    <row r="1108" spans="17:18">
      <c r="Q1108" s="374">
        <f t="shared" si="58"/>
        <v>1.0709999999999928</v>
      </c>
      <c r="R1108" s="206">
        <v>1.125</v>
      </c>
    </row>
    <row r="1109" spans="17:18">
      <c r="Q1109" s="374">
        <f t="shared" si="58"/>
        <v>1.0719999999999927</v>
      </c>
      <c r="R1109" s="206">
        <v>1.125</v>
      </c>
    </row>
    <row r="1110" spans="17:18">
      <c r="Q1110" s="374">
        <f t="shared" si="58"/>
        <v>1.0729999999999926</v>
      </c>
      <c r="R1110" s="206">
        <v>1.125</v>
      </c>
    </row>
    <row r="1111" spans="17:18">
      <c r="Q1111" s="374">
        <f t="shared" si="58"/>
        <v>1.0739999999999925</v>
      </c>
      <c r="R1111" s="206">
        <v>1.125</v>
      </c>
    </row>
    <row r="1112" spans="17:18">
      <c r="Q1112" s="374">
        <f t="shared" si="58"/>
        <v>1.0749999999999924</v>
      </c>
      <c r="R1112" s="206">
        <v>1.125</v>
      </c>
    </row>
    <row r="1113" spans="17:18">
      <c r="Q1113" s="374">
        <f t="shared" si="58"/>
        <v>1.0759999999999923</v>
      </c>
      <c r="R1113" s="206">
        <v>1.125</v>
      </c>
    </row>
    <row r="1114" spans="17:18">
      <c r="Q1114" s="374">
        <f t="shared" si="58"/>
        <v>1.0769999999999922</v>
      </c>
      <c r="R1114" s="206">
        <v>1.125</v>
      </c>
    </row>
    <row r="1115" spans="17:18">
      <c r="Q1115" s="374">
        <f t="shared" si="58"/>
        <v>1.0779999999999921</v>
      </c>
      <c r="R1115" s="206">
        <v>1.125</v>
      </c>
    </row>
    <row r="1116" spans="17:18">
      <c r="Q1116" s="374">
        <f t="shared" si="58"/>
        <v>1.078999999999992</v>
      </c>
      <c r="R1116" s="206">
        <v>1.125</v>
      </c>
    </row>
    <row r="1117" spans="17:18">
      <c r="Q1117" s="374">
        <f t="shared" si="58"/>
        <v>1.0799999999999919</v>
      </c>
      <c r="R1117" s="206">
        <v>1.125</v>
      </c>
    </row>
    <row r="1118" spans="17:18">
      <c r="Q1118" s="374">
        <f t="shared" si="58"/>
        <v>1.0809999999999917</v>
      </c>
      <c r="R1118" s="206">
        <v>1.125</v>
      </c>
    </row>
    <row r="1119" spans="17:18">
      <c r="Q1119" s="374">
        <f t="shared" si="58"/>
        <v>1.0819999999999916</v>
      </c>
      <c r="R1119" s="206">
        <v>1.125</v>
      </c>
    </row>
    <row r="1120" spans="17:18">
      <c r="Q1120" s="374">
        <f t="shared" si="58"/>
        <v>1.0829999999999915</v>
      </c>
      <c r="R1120" s="206">
        <v>1.125</v>
      </c>
    </row>
    <row r="1121" spans="17:18">
      <c r="Q1121" s="374">
        <f t="shared" si="58"/>
        <v>1.0839999999999914</v>
      </c>
      <c r="R1121" s="206">
        <v>1.125</v>
      </c>
    </row>
    <row r="1122" spans="17:18">
      <c r="Q1122" s="374">
        <f t="shared" si="58"/>
        <v>1.0849999999999913</v>
      </c>
      <c r="R1122" s="206">
        <v>1.125</v>
      </c>
    </row>
    <row r="1123" spans="17:18">
      <c r="Q1123" s="374">
        <f t="shared" si="58"/>
        <v>1.0859999999999912</v>
      </c>
      <c r="R1123" s="206">
        <v>1.125</v>
      </c>
    </row>
    <row r="1124" spans="17:18">
      <c r="Q1124" s="374">
        <f t="shared" si="58"/>
        <v>1.0869999999999911</v>
      </c>
      <c r="R1124" s="206">
        <v>1.125</v>
      </c>
    </row>
    <row r="1125" spans="17:18">
      <c r="Q1125" s="374">
        <f t="shared" si="58"/>
        <v>1.087999999999991</v>
      </c>
      <c r="R1125" s="206">
        <v>1.125</v>
      </c>
    </row>
    <row r="1126" spans="17:18">
      <c r="Q1126" s="374">
        <f t="shared" si="58"/>
        <v>1.0889999999999909</v>
      </c>
      <c r="R1126" s="206">
        <v>1.125</v>
      </c>
    </row>
    <row r="1127" spans="17:18">
      <c r="Q1127" s="374">
        <f t="shared" ref="Q1127:Q1190" si="59">Q1126+0.001</f>
        <v>1.0899999999999908</v>
      </c>
      <c r="R1127" s="206">
        <v>1.125</v>
      </c>
    </row>
    <row r="1128" spans="17:18">
      <c r="Q1128" s="374">
        <f t="shared" si="59"/>
        <v>1.0909999999999906</v>
      </c>
      <c r="R1128" s="206">
        <v>1.125</v>
      </c>
    </row>
    <row r="1129" spans="17:18">
      <c r="Q1129" s="374">
        <f t="shared" si="59"/>
        <v>1.0919999999999905</v>
      </c>
      <c r="R1129" s="206">
        <v>1.125</v>
      </c>
    </row>
    <row r="1130" spans="17:18">
      <c r="Q1130" s="374">
        <f t="shared" si="59"/>
        <v>1.0929999999999904</v>
      </c>
      <c r="R1130" s="206">
        <v>1.125</v>
      </c>
    </row>
    <row r="1131" spans="17:18">
      <c r="Q1131" s="374">
        <f t="shared" si="59"/>
        <v>1.0939999999999903</v>
      </c>
      <c r="R1131" s="206">
        <v>1.125</v>
      </c>
    </row>
    <row r="1132" spans="17:18">
      <c r="Q1132" s="374">
        <f t="shared" si="59"/>
        <v>1.0949999999999902</v>
      </c>
      <c r="R1132" s="206">
        <v>1.125</v>
      </c>
    </row>
    <row r="1133" spans="17:18">
      <c r="Q1133" s="374">
        <f t="shared" si="59"/>
        <v>1.0959999999999901</v>
      </c>
      <c r="R1133" s="206">
        <v>1.125</v>
      </c>
    </row>
    <row r="1134" spans="17:18">
      <c r="Q1134" s="374">
        <f t="shared" si="59"/>
        <v>1.09699999999999</v>
      </c>
      <c r="R1134" s="206">
        <v>1.125</v>
      </c>
    </row>
    <row r="1135" spans="17:18">
      <c r="Q1135" s="374">
        <f t="shared" si="59"/>
        <v>1.0979999999999899</v>
      </c>
      <c r="R1135" s="206">
        <v>1.125</v>
      </c>
    </row>
    <row r="1136" spans="17:18">
      <c r="Q1136" s="374">
        <f t="shared" si="59"/>
        <v>1.0989999999999898</v>
      </c>
      <c r="R1136" s="206">
        <v>1.125</v>
      </c>
    </row>
    <row r="1137" spans="17:18">
      <c r="Q1137" s="374">
        <f t="shared" si="59"/>
        <v>1.0999999999999897</v>
      </c>
      <c r="R1137" s="206">
        <v>1.125</v>
      </c>
    </row>
    <row r="1138" spans="17:18">
      <c r="Q1138" s="374">
        <f t="shared" si="59"/>
        <v>1.1009999999999895</v>
      </c>
      <c r="R1138" s="206">
        <v>1.125</v>
      </c>
    </row>
    <row r="1139" spans="17:18">
      <c r="Q1139" s="374">
        <f t="shared" si="59"/>
        <v>1.1019999999999894</v>
      </c>
      <c r="R1139" s="206">
        <v>1.125</v>
      </c>
    </row>
    <row r="1140" spans="17:18">
      <c r="Q1140" s="374">
        <f t="shared" si="59"/>
        <v>1.1029999999999893</v>
      </c>
      <c r="R1140" s="206">
        <v>1.125</v>
      </c>
    </row>
    <row r="1141" spans="17:18">
      <c r="Q1141" s="374">
        <f t="shared" si="59"/>
        <v>1.1039999999999892</v>
      </c>
      <c r="R1141" s="206">
        <v>1.125</v>
      </c>
    </row>
    <row r="1142" spans="17:18">
      <c r="Q1142" s="374">
        <f t="shared" si="59"/>
        <v>1.1049999999999891</v>
      </c>
      <c r="R1142" s="206">
        <v>1.125</v>
      </c>
    </row>
    <row r="1143" spans="17:18">
      <c r="Q1143" s="374">
        <f t="shared" si="59"/>
        <v>1.105999999999989</v>
      </c>
      <c r="R1143" s="206">
        <v>1.125</v>
      </c>
    </row>
    <row r="1144" spans="17:18">
      <c r="Q1144" s="374">
        <f t="shared" si="59"/>
        <v>1.1069999999999889</v>
      </c>
      <c r="R1144" s="206">
        <v>1.125</v>
      </c>
    </row>
    <row r="1145" spans="17:18">
      <c r="Q1145" s="374">
        <f t="shared" si="59"/>
        <v>1.1079999999999888</v>
      </c>
      <c r="R1145" s="206">
        <v>1.125</v>
      </c>
    </row>
    <row r="1146" spans="17:18">
      <c r="Q1146" s="374">
        <f t="shared" si="59"/>
        <v>1.1089999999999887</v>
      </c>
      <c r="R1146" s="206">
        <v>1.125</v>
      </c>
    </row>
    <row r="1147" spans="17:18">
      <c r="Q1147" s="374">
        <f t="shared" si="59"/>
        <v>1.1099999999999886</v>
      </c>
      <c r="R1147" s="206">
        <v>1.125</v>
      </c>
    </row>
    <row r="1148" spans="17:18">
      <c r="Q1148" s="374">
        <f t="shared" si="59"/>
        <v>1.1109999999999884</v>
      </c>
      <c r="R1148" s="206">
        <v>1.125</v>
      </c>
    </row>
    <row r="1149" spans="17:18">
      <c r="Q1149" s="374">
        <f t="shared" si="59"/>
        <v>1.1119999999999883</v>
      </c>
      <c r="R1149" s="206">
        <v>1.125</v>
      </c>
    </row>
    <row r="1150" spans="17:18">
      <c r="Q1150" s="374">
        <f t="shared" si="59"/>
        <v>1.1129999999999882</v>
      </c>
      <c r="R1150" s="206">
        <v>1.125</v>
      </c>
    </row>
    <row r="1151" spans="17:18">
      <c r="Q1151" s="374">
        <f t="shared" si="59"/>
        <v>1.1139999999999881</v>
      </c>
      <c r="R1151" s="206">
        <v>1.125</v>
      </c>
    </row>
    <row r="1152" spans="17:18">
      <c r="Q1152" s="374">
        <f t="shared" si="59"/>
        <v>1.114999999999988</v>
      </c>
      <c r="R1152" s="206">
        <v>1.125</v>
      </c>
    </row>
    <row r="1153" spans="17:18">
      <c r="Q1153" s="374">
        <f t="shared" si="59"/>
        <v>1.1159999999999879</v>
      </c>
      <c r="R1153" s="206">
        <v>1.125</v>
      </c>
    </row>
    <row r="1154" spans="17:18">
      <c r="Q1154" s="374">
        <f t="shared" si="59"/>
        <v>1.1169999999999878</v>
      </c>
      <c r="R1154" s="206">
        <v>1.125</v>
      </c>
    </row>
    <row r="1155" spans="17:18">
      <c r="Q1155" s="374">
        <f t="shared" si="59"/>
        <v>1.1179999999999877</v>
      </c>
      <c r="R1155" s="206">
        <v>1.125</v>
      </c>
    </row>
    <row r="1156" spans="17:18">
      <c r="Q1156" s="374">
        <f t="shared" si="59"/>
        <v>1.1189999999999876</v>
      </c>
      <c r="R1156" s="206">
        <v>1.125</v>
      </c>
    </row>
    <row r="1157" spans="17:18">
      <c r="Q1157" s="374">
        <f t="shared" si="59"/>
        <v>1.1199999999999875</v>
      </c>
      <c r="R1157" s="206">
        <v>1.125</v>
      </c>
    </row>
    <row r="1158" spans="17:18">
      <c r="Q1158" s="374">
        <f t="shared" si="59"/>
        <v>1.1209999999999873</v>
      </c>
      <c r="R1158" s="206">
        <v>1.125</v>
      </c>
    </row>
    <row r="1159" spans="17:18">
      <c r="Q1159" s="374">
        <f t="shared" si="59"/>
        <v>1.1219999999999872</v>
      </c>
      <c r="R1159" s="206">
        <v>1.125</v>
      </c>
    </row>
    <row r="1160" spans="17:18">
      <c r="Q1160" s="374">
        <f t="shared" si="59"/>
        <v>1.1229999999999871</v>
      </c>
      <c r="R1160" s="206">
        <v>1.125</v>
      </c>
    </row>
    <row r="1161" spans="17:18">
      <c r="Q1161" s="374">
        <f t="shared" si="59"/>
        <v>1.123999999999987</v>
      </c>
      <c r="R1161" s="206">
        <v>1.125</v>
      </c>
    </row>
    <row r="1162" spans="17:18">
      <c r="Q1162" s="374">
        <f t="shared" si="59"/>
        <v>1.1249999999999869</v>
      </c>
      <c r="R1162" s="206">
        <v>1.125</v>
      </c>
    </row>
    <row r="1163" spans="17:18">
      <c r="Q1163" s="374">
        <f t="shared" si="59"/>
        <v>1.1259999999999868</v>
      </c>
      <c r="R1163" s="206">
        <v>1.125</v>
      </c>
    </row>
    <row r="1164" spans="17:18">
      <c r="Q1164" s="374">
        <f t="shared" si="59"/>
        <v>1.1269999999999867</v>
      </c>
      <c r="R1164" s="206">
        <v>1.125</v>
      </c>
    </row>
    <row r="1165" spans="17:18">
      <c r="Q1165" s="374">
        <f t="shared" si="59"/>
        <v>1.1279999999999866</v>
      </c>
      <c r="R1165" s="206">
        <v>1.125</v>
      </c>
    </row>
    <row r="1166" spans="17:18">
      <c r="Q1166" s="374">
        <f t="shared" si="59"/>
        <v>1.1289999999999865</v>
      </c>
      <c r="R1166" s="206">
        <v>1.125</v>
      </c>
    </row>
    <row r="1167" spans="17:18">
      <c r="Q1167" s="374">
        <f t="shared" si="59"/>
        <v>1.1299999999999863</v>
      </c>
      <c r="R1167" s="206">
        <v>1.125</v>
      </c>
    </row>
    <row r="1168" spans="17:18">
      <c r="Q1168" s="374">
        <f t="shared" si="59"/>
        <v>1.1309999999999862</v>
      </c>
      <c r="R1168" s="206">
        <v>1.125</v>
      </c>
    </row>
    <row r="1169" spans="17:18">
      <c r="Q1169" s="374">
        <f t="shared" si="59"/>
        <v>1.1319999999999861</v>
      </c>
      <c r="R1169" s="206">
        <v>1.125</v>
      </c>
    </row>
    <row r="1170" spans="17:18">
      <c r="Q1170" s="374">
        <f t="shared" si="59"/>
        <v>1.132999999999986</v>
      </c>
      <c r="R1170" s="206">
        <v>1.125</v>
      </c>
    </row>
    <row r="1171" spans="17:18">
      <c r="Q1171" s="374">
        <f t="shared" si="59"/>
        <v>1.1339999999999859</v>
      </c>
      <c r="R1171" s="206">
        <v>1.125</v>
      </c>
    </row>
    <row r="1172" spans="17:18">
      <c r="Q1172" s="374">
        <f t="shared" si="59"/>
        <v>1.1349999999999858</v>
      </c>
      <c r="R1172" s="206">
        <v>1.125</v>
      </c>
    </row>
    <row r="1173" spans="17:18">
      <c r="Q1173" s="374">
        <f t="shared" si="59"/>
        <v>1.1359999999999857</v>
      </c>
      <c r="R1173" s="206">
        <v>1.125</v>
      </c>
    </row>
    <row r="1174" spans="17:18">
      <c r="Q1174" s="374">
        <f t="shared" si="59"/>
        <v>1.1369999999999856</v>
      </c>
      <c r="R1174" s="206">
        <v>1.125</v>
      </c>
    </row>
    <row r="1175" spans="17:18">
      <c r="Q1175" s="374">
        <f t="shared" si="59"/>
        <v>1.1379999999999855</v>
      </c>
      <c r="R1175" s="206">
        <v>1.125</v>
      </c>
    </row>
    <row r="1176" spans="17:18">
      <c r="Q1176" s="374">
        <f t="shared" si="59"/>
        <v>1.1389999999999854</v>
      </c>
      <c r="R1176" s="206">
        <v>1.125</v>
      </c>
    </row>
    <row r="1177" spans="17:18">
      <c r="Q1177" s="374">
        <f t="shared" si="59"/>
        <v>1.1399999999999852</v>
      </c>
      <c r="R1177" s="206">
        <v>1.125</v>
      </c>
    </row>
    <row r="1178" spans="17:18">
      <c r="Q1178" s="374">
        <f t="shared" si="59"/>
        <v>1.1409999999999851</v>
      </c>
      <c r="R1178" s="206">
        <v>1.125</v>
      </c>
    </row>
    <row r="1179" spans="17:18">
      <c r="Q1179" s="374">
        <f t="shared" si="59"/>
        <v>1.141999999999985</v>
      </c>
      <c r="R1179" s="206">
        <v>1.125</v>
      </c>
    </row>
    <row r="1180" spans="17:18">
      <c r="Q1180" s="374">
        <f t="shared" si="59"/>
        <v>1.1429999999999849</v>
      </c>
      <c r="R1180" s="206">
        <v>1.125</v>
      </c>
    </row>
    <row r="1181" spans="17:18">
      <c r="Q1181" s="374">
        <f t="shared" si="59"/>
        <v>1.1439999999999848</v>
      </c>
      <c r="R1181" s="206">
        <v>1.125</v>
      </c>
    </row>
    <row r="1182" spans="17:18">
      <c r="Q1182" s="374">
        <f t="shared" si="59"/>
        <v>1.1449999999999847</v>
      </c>
      <c r="R1182" s="206">
        <v>1.125</v>
      </c>
    </row>
    <row r="1183" spans="17:18">
      <c r="Q1183" s="374">
        <f t="shared" si="59"/>
        <v>1.1459999999999846</v>
      </c>
      <c r="R1183" s="206">
        <v>1.125</v>
      </c>
    </row>
    <row r="1184" spans="17:18">
      <c r="Q1184" s="374">
        <f t="shared" si="59"/>
        <v>1.1469999999999845</v>
      </c>
      <c r="R1184" s="206">
        <v>1.125</v>
      </c>
    </row>
    <row r="1185" spans="17:18">
      <c r="Q1185" s="374">
        <f t="shared" si="59"/>
        <v>1.1479999999999844</v>
      </c>
      <c r="R1185" s="206">
        <v>1.125</v>
      </c>
    </row>
    <row r="1186" spans="17:18">
      <c r="Q1186" s="374">
        <f t="shared" si="59"/>
        <v>1.1489999999999843</v>
      </c>
      <c r="R1186" s="206">
        <v>1.125</v>
      </c>
    </row>
    <row r="1187" spans="17:18">
      <c r="Q1187" s="374">
        <f t="shared" si="59"/>
        <v>1.1499999999999841</v>
      </c>
      <c r="R1187" s="206">
        <v>1.125</v>
      </c>
    </row>
    <row r="1188" spans="17:18">
      <c r="Q1188" s="374">
        <f t="shared" si="59"/>
        <v>1.150999999999984</v>
      </c>
      <c r="R1188" s="206">
        <v>1.125</v>
      </c>
    </row>
    <row r="1189" spans="17:18">
      <c r="Q1189" s="374">
        <f t="shared" si="59"/>
        <v>1.1519999999999839</v>
      </c>
      <c r="R1189" s="206">
        <v>1.125</v>
      </c>
    </row>
    <row r="1190" spans="17:18">
      <c r="Q1190" s="374">
        <f t="shared" si="59"/>
        <v>1.1529999999999838</v>
      </c>
      <c r="R1190" s="206">
        <v>1.125</v>
      </c>
    </row>
    <row r="1191" spans="17:18">
      <c r="Q1191" s="374">
        <f t="shared" ref="Q1191:Q1254" si="60">Q1190+0.001</f>
        <v>1.1539999999999837</v>
      </c>
      <c r="R1191" s="206">
        <v>1.125</v>
      </c>
    </row>
    <row r="1192" spans="17:18">
      <c r="Q1192" s="374">
        <f t="shared" si="60"/>
        <v>1.1549999999999836</v>
      </c>
      <c r="R1192" s="206">
        <v>1.125</v>
      </c>
    </row>
    <row r="1193" spans="17:18">
      <c r="Q1193" s="374">
        <f t="shared" si="60"/>
        <v>1.1559999999999835</v>
      </c>
      <c r="R1193" s="206">
        <v>1.125</v>
      </c>
    </row>
    <row r="1194" spans="17:18">
      <c r="Q1194" s="374">
        <f t="shared" si="60"/>
        <v>1.1569999999999834</v>
      </c>
      <c r="R1194" s="206">
        <v>1.125</v>
      </c>
    </row>
    <row r="1195" spans="17:18">
      <c r="Q1195" s="374">
        <f t="shared" si="60"/>
        <v>1.1579999999999833</v>
      </c>
      <c r="R1195" s="206">
        <v>1.125</v>
      </c>
    </row>
    <row r="1196" spans="17:18">
      <c r="Q1196" s="374">
        <f t="shared" si="60"/>
        <v>1.1589999999999832</v>
      </c>
      <c r="R1196" s="206">
        <v>1.125</v>
      </c>
    </row>
    <row r="1197" spans="17:18">
      <c r="Q1197" s="374">
        <f t="shared" si="60"/>
        <v>1.159999999999983</v>
      </c>
      <c r="R1197" s="206">
        <v>1.125</v>
      </c>
    </row>
    <row r="1198" spans="17:18">
      <c r="Q1198" s="374">
        <f t="shared" si="60"/>
        <v>1.1609999999999829</v>
      </c>
      <c r="R1198" s="206">
        <v>1.125</v>
      </c>
    </row>
    <row r="1199" spans="17:18">
      <c r="Q1199" s="374">
        <f t="shared" si="60"/>
        <v>1.1619999999999828</v>
      </c>
      <c r="R1199" s="206">
        <v>1.125</v>
      </c>
    </row>
    <row r="1200" spans="17:18">
      <c r="Q1200" s="374">
        <f t="shared" si="60"/>
        <v>1.1629999999999827</v>
      </c>
      <c r="R1200" s="206">
        <v>1.125</v>
      </c>
    </row>
    <row r="1201" spans="17:18">
      <c r="Q1201" s="374">
        <f t="shared" si="60"/>
        <v>1.1639999999999826</v>
      </c>
      <c r="R1201" s="206">
        <v>1.125</v>
      </c>
    </row>
    <row r="1202" spans="17:18">
      <c r="Q1202" s="374">
        <f t="shared" si="60"/>
        <v>1.1649999999999825</v>
      </c>
      <c r="R1202" s="206">
        <v>1.125</v>
      </c>
    </row>
    <row r="1203" spans="17:18">
      <c r="Q1203" s="374">
        <f t="shared" si="60"/>
        <v>1.1659999999999824</v>
      </c>
      <c r="R1203" s="206">
        <v>1.125</v>
      </c>
    </row>
    <row r="1204" spans="17:18">
      <c r="Q1204" s="374">
        <f t="shared" si="60"/>
        <v>1.1669999999999823</v>
      </c>
      <c r="R1204" s="206">
        <v>1.125</v>
      </c>
    </row>
    <row r="1205" spans="17:18">
      <c r="Q1205" s="374">
        <f t="shared" si="60"/>
        <v>1.1679999999999822</v>
      </c>
      <c r="R1205" s="206">
        <v>1.125</v>
      </c>
    </row>
    <row r="1206" spans="17:18">
      <c r="Q1206" s="374">
        <f t="shared" si="60"/>
        <v>1.1689999999999821</v>
      </c>
      <c r="R1206" s="206">
        <v>1.125</v>
      </c>
    </row>
    <row r="1207" spans="17:18">
      <c r="Q1207" s="374">
        <f t="shared" si="60"/>
        <v>1.1699999999999819</v>
      </c>
      <c r="R1207" s="206">
        <v>1.125</v>
      </c>
    </row>
    <row r="1208" spans="17:18">
      <c r="Q1208" s="374">
        <f t="shared" si="60"/>
        <v>1.1709999999999818</v>
      </c>
      <c r="R1208" s="206">
        <v>1.125</v>
      </c>
    </row>
    <row r="1209" spans="17:18">
      <c r="Q1209" s="374">
        <f t="shared" si="60"/>
        <v>1.1719999999999817</v>
      </c>
      <c r="R1209" s="206">
        <v>1.125</v>
      </c>
    </row>
    <row r="1210" spans="17:18">
      <c r="Q1210" s="374">
        <f t="shared" si="60"/>
        <v>1.1729999999999816</v>
      </c>
      <c r="R1210" s="206">
        <v>1.125</v>
      </c>
    </row>
    <row r="1211" spans="17:18">
      <c r="Q1211" s="374">
        <f t="shared" si="60"/>
        <v>1.1739999999999815</v>
      </c>
      <c r="R1211" s="206">
        <v>1.125</v>
      </c>
    </row>
    <row r="1212" spans="17:18">
      <c r="Q1212" s="374">
        <f t="shared" si="60"/>
        <v>1.1749999999999814</v>
      </c>
      <c r="R1212" s="206">
        <v>1.125</v>
      </c>
    </row>
    <row r="1213" spans="17:18">
      <c r="Q1213" s="374">
        <f t="shared" si="60"/>
        <v>1.1759999999999813</v>
      </c>
      <c r="R1213" s="206">
        <v>1.125</v>
      </c>
    </row>
    <row r="1214" spans="17:18">
      <c r="Q1214" s="374">
        <f t="shared" si="60"/>
        <v>1.1769999999999812</v>
      </c>
      <c r="R1214" s="206">
        <v>1.125</v>
      </c>
    </row>
    <row r="1215" spans="17:18">
      <c r="Q1215" s="374">
        <f t="shared" si="60"/>
        <v>1.1779999999999811</v>
      </c>
      <c r="R1215" s="206">
        <v>1.125</v>
      </c>
    </row>
    <row r="1216" spans="17:18">
      <c r="Q1216" s="374">
        <f t="shared" si="60"/>
        <v>1.178999999999981</v>
      </c>
      <c r="R1216" s="206">
        <v>1.125</v>
      </c>
    </row>
    <row r="1217" spans="17:18">
      <c r="Q1217" s="374">
        <f t="shared" si="60"/>
        <v>1.1799999999999808</v>
      </c>
      <c r="R1217" s="206">
        <v>1.125</v>
      </c>
    </row>
    <row r="1218" spans="17:18">
      <c r="Q1218" s="374">
        <f t="shared" si="60"/>
        <v>1.1809999999999807</v>
      </c>
      <c r="R1218" s="206">
        <v>1.125</v>
      </c>
    </row>
    <row r="1219" spans="17:18">
      <c r="Q1219" s="374">
        <f t="shared" si="60"/>
        <v>1.1819999999999806</v>
      </c>
      <c r="R1219" s="206">
        <v>1.125</v>
      </c>
    </row>
    <row r="1220" spans="17:18">
      <c r="Q1220" s="374">
        <f t="shared" si="60"/>
        <v>1.1829999999999805</v>
      </c>
      <c r="R1220" s="206">
        <v>1.125</v>
      </c>
    </row>
    <row r="1221" spans="17:18">
      <c r="Q1221" s="374">
        <f t="shared" si="60"/>
        <v>1.1839999999999804</v>
      </c>
      <c r="R1221" s="206">
        <v>1.125</v>
      </c>
    </row>
    <row r="1222" spans="17:18">
      <c r="Q1222" s="374">
        <f t="shared" si="60"/>
        <v>1.1849999999999803</v>
      </c>
      <c r="R1222" s="206">
        <v>1.125</v>
      </c>
    </row>
    <row r="1223" spans="17:18">
      <c r="Q1223" s="374">
        <f t="shared" si="60"/>
        <v>1.1859999999999802</v>
      </c>
      <c r="R1223" s="206">
        <v>1.125</v>
      </c>
    </row>
    <row r="1224" spans="17:18">
      <c r="Q1224" s="374">
        <f t="shared" si="60"/>
        <v>1.1869999999999801</v>
      </c>
      <c r="R1224" s="206">
        <v>1.125</v>
      </c>
    </row>
    <row r="1225" spans="17:18">
      <c r="Q1225" s="374">
        <f t="shared" si="60"/>
        <v>1.18799999999998</v>
      </c>
      <c r="R1225" s="206">
        <v>1.125</v>
      </c>
    </row>
    <row r="1226" spans="17:18">
      <c r="Q1226" s="374">
        <f t="shared" si="60"/>
        <v>1.1889999999999799</v>
      </c>
      <c r="R1226" s="206">
        <v>1.125</v>
      </c>
    </row>
    <row r="1227" spans="17:18">
      <c r="Q1227" s="374">
        <f t="shared" si="60"/>
        <v>1.1899999999999797</v>
      </c>
      <c r="R1227" s="206">
        <v>1.125</v>
      </c>
    </row>
    <row r="1228" spans="17:18">
      <c r="Q1228" s="374">
        <f t="shared" si="60"/>
        <v>1.1909999999999796</v>
      </c>
      <c r="R1228" s="206">
        <v>1.125</v>
      </c>
    </row>
    <row r="1229" spans="17:18">
      <c r="Q1229" s="374">
        <f t="shared" si="60"/>
        <v>1.1919999999999795</v>
      </c>
      <c r="R1229" s="206">
        <v>1.125</v>
      </c>
    </row>
    <row r="1230" spans="17:18">
      <c r="Q1230" s="374">
        <f t="shared" si="60"/>
        <v>1.1929999999999794</v>
      </c>
      <c r="R1230" s="206">
        <v>1.125</v>
      </c>
    </row>
    <row r="1231" spans="17:18">
      <c r="Q1231" s="374">
        <f t="shared" si="60"/>
        <v>1.1939999999999793</v>
      </c>
      <c r="R1231" s="206">
        <v>1.125</v>
      </c>
    </row>
    <row r="1232" spans="17:18">
      <c r="Q1232" s="374">
        <f t="shared" si="60"/>
        <v>1.1949999999999792</v>
      </c>
      <c r="R1232" s="206">
        <v>1.125</v>
      </c>
    </row>
    <row r="1233" spans="17:18">
      <c r="Q1233" s="374">
        <f t="shared" si="60"/>
        <v>1.1959999999999791</v>
      </c>
      <c r="R1233" s="206">
        <v>1.125</v>
      </c>
    </row>
    <row r="1234" spans="17:18">
      <c r="Q1234" s="374">
        <f t="shared" si="60"/>
        <v>1.196999999999979</v>
      </c>
      <c r="R1234" s="206">
        <v>1.125</v>
      </c>
    </row>
    <row r="1235" spans="17:18">
      <c r="Q1235" s="374">
        <f t="shared" si="60"/>
        <v>1.1979999999999789</v>
      </c>
      <c r="R1235" s="206">
        <v>1.125</v>
      </c>
    </row>
    <row r="1236" spans="17:18">
      <c r="Q1236" s="374">
        <f t="shared" si="60"/>
        <v>1.1989999999999787</v>
      </c>
      <c r="R1236" s="206">
        <v>1.125</v>
      </c>
    </row>
    <row r="1237" spans="17:18">
      <c r="Q1237" s="374">
        <f t="shared" si="60"/>
        <v>1.1999999999999786</v>
      </c>
      <c r="R1237" s="206">
        <v>1.125</v>
      </c>
    </row>
    <row r="1238" spans="17:18">
      <c r="Q1238" s="374">
        <f t="shared" si="60"/>
        <v>1.2009999999999785</v>
      </c>
      <c r="R1238" s="206">
        <v>1.125</v>
      </c>
    </row>
    <row r="1239" spans="17:18">
      <c r="Q1239" s="374">
        <f t="shared" si="60"/>
        <v>1.2019999999999784</v>
      </c>
      <c r="R1239" s="206">
        <v>1.125</v>
      </c>
    </row>
    <row r="1240" spans="17:18">
      <c r="Q1240" s="374">
        <f t="shared" si="60"/>
        <v>1.2029999999999783</v>
      </c>
      <c r="R1240" s="206">
        <v>1.125</v>
      </c>
    </row>
    <row r="1241" spans="17:18">
      <c r="Q1241" s="374">
        <f t="shared" si="60"/>
        <v>1.2039999999999782</v>
      </c>
      <c r="R1241" s="206">
        <v>1.125</v>
      </c>
    </row>
    <row r="1242" spans="17:18">
      <c r="Q1242" s="374">
        <f t="shared" si="60"/>
        <v>1.2049999999999781</v>
      </c>
      <c r="R1242" s="206">
        <v>1.125</v>
      </c>
    </row>
    <row r="1243" spans="17:18">
      <c r="Q1243" s="374">
        <f t="shared" si="60"/>
        <v>1.205999999999978</v>
      </c>
      <c r="R1243" s="206">
        <v>1.125</v>
      </c>
    </row>
    <row r="1244" spans="17:18">
      <c r="Q1244" s="374">
        <f t="shared" si="60"/>
        <v>1.2069999999999779</v>
      </c>
      <c r="R1244" s="206">
        <v>1.125</v>
      </c>
    </row>
    <row r="1245" spans="17:18">
      <c r="Q1245" s="374">
        <f t="shared" si="60"/>
        <v>1.2079999999999778</v>
      </c>
      <c r="R1245" s="206">
        <v>1.125</v>
      </c>
    </row>
    <row r="1246" spans="17:18">
      <c r="Q1246" s="374">
        <f t="shared" si="60"/>
        <v>1.2089999999999776</v>
      </c>
      <c r="R1246" s="206">
        <v>1.125</v>
      </c>
    </row>
    <row r="1247" spans="17:18">
      <c r="Q1247" s="374">
        <f t="shared" si="60"/>
        <v>1.2099999999999775</v>
      </c>
      <c r="R1247" s="206">
        <v>1.125</v>
      </c>
    </row>
    <row r="1248" spans="17:18">
      <c r="Q1248" s="374">
        <f t="shared" si="60"/>
        <v>1.2109999999999774</v>
      </c>
      <c r="R1248" s="206">
        <v>1.125</v>
      </c>
    </row>
    <row r="1249" spans="17:18">
      <c r="Q1249" s="374">
        <f t="shared" si="60"/>
        <v>1.2119999999999773</v>
      </c>
      <c r="R1249" s="206">
        <v>1.125</v>
      </c>
    </row>
    <row r="1250" spans="17:18">
      <c r="Q1250" s="374">
        <f t="shared" si="60"/>
        <v>1.2129999999999772</v>
      </c>
      <c r="R1250" s="206">
        <v>1.125</v>
      </c>
    </row>
    <row r="1251" spans="17:18">
      <c r="Q1251" s="374">
        <f t="shared" si="60"/>
        <v>1.2139999999999771</v>
      </c>
      <c r="R1251" s="206">
        <v>1.125</v>
      </c>
    </row>
    <row r="1252" spans="17:18">
      <c r="Q1252" s="374">
        <f t="shared" si="60"/>
        <v>1.214999999999977</v>
      </c>
      <c r="R1252" s="206">
        <v>1.125</v>
      </c>
    </row>
    <row r="1253" spans="17:18">
      <c r="Q1253" s="374">
        <f t="shared" si="60"/>
        <v>1.2159999999999769</v>
      </c>
      <c r="R1253" s="206">
        <v>1.125</v>
      </c>
    </row>
    <row r="1254" spans="17:18">
      <c r="Q1254" s="374">
        <f t="shared" si="60"/>
        <v>1.2169999999999768</v>
      </c>
      <c r="R1254" s="206">
        <v>1.125</v>
      </c>
    </row>
    <row r="1255" spans="17:18">
      <c r="Q1255" s="374">
        <f t="shared" ref="Q1255:Q1318" si="61">Q1254+0.001</f>
        <v>1.2179999999999767</v>
      </c>
      <c r="R1255" s="206">
        <v>1.125</v>
      </c>
    </row>
    <row r="1256" spans="17:18">
      <c r="Q1256" s="374">
        <f t="shared" si="61"/>
        <v>1.2189999999999765</v>
      </c>
      <c r="R1256" s="206">
        <v>1.125</v>
      </c>
    </row>
    <row r="1257" spans="17:18">
      <c r="Q1257" s="374">
        <f t="shared" si="61"/>
        <v>1.2199999999999764</v>
      </c>
      <c r="R1257" s="206">
        <v>1.125</v>
      </c>
    </row>
    <row r="1258" spans="17:18">
      <c r="Q1258" s="374">
        <f t="shared" si="61"/>
        <v>1.2209999999999763</v>
      </c>
      <c r="R1258" s="206">
        <v>1.125</v>
      </c>
    </row>
    <row r="1259" spans="17:18">
      <c r="Q1259" s="374">
        <f t="shared" si="61"/>
        <v>1.2219999999999762</v>
      </c>
      <c r="R1259" s="206">
        <v>1.125</v>
      </c>
    </row>
    <row r="1260" spans="17:18">
      <c r="Q1260" s="374">
        <f t="shared" si="61"/>
        <v>1.2229999999999761</v>
      </c>
      <c r="R1260" s="206">
        <v>1.125</v>
      </c>
    </row>
    <row r="1261" spans="17:18">
      <c r="Q1261" s="374">
        <f t="shared" si="61"/>
        <v>1.223999999999976</v>
      </c>
      <c r="R1261" s="206">
        <v>1.125</v>
      </c>
    </row>
    <row r="1262" spans="17:18">
      <c r="Q1262" s="374">
        <f t="shared" si="61"/>
        <v>1.2249999999999759</v>
      </c>
      <c r="R1262" s="206">
        <v>1.125</v>
      </c>
    </row>
    <row r="1263" spans="17:18">
      <c r="Q1263" s="374">
        <f t="shared" si="61"/>
        <v>1.2259999999999758</v>
      </c>
      <c r="R1263" s="206">
        <v>1.25</v>
      </c>
    </row>
    <row r="1264" spans="17:18">
      <c r="Q1264" s="374">
        <f t="shared" si="61"/>
        <v>1.2269999999999757</v>
      </c>
      <c r="R1264" s="206">
        <v>1.25</v>
      </c>
    </row>
    <row r="1265" spans="17:18">
      <c r="Q1265" s="374">
        <f t="shared" si="61"/>
        <v>1.2279999999999756</v>
      </c>
      <c r="R1265" s="206">
        <v>1.25</v>
      </c>
    </row>
    <row r="1266" spans="17:18">
      <c r="Q1266" s="374">
        <f t="shared" si="61"/>
        <v>1.2289999999999754</v>
      </c>
      <c r="R1266" s="206">
        <v>1.25</v>
      </c>
    </row>
    <row r="1267" spans="17:18">
      <c r="Q1267" s="374">
        <f t="shared" si="61"/>
        <v>1.2299999999999753</v>
      </c>
      <c r="R1267" s="206">
        <v>1.25</v>
      </c>
    </row>
    <row r="1268" spans="17:18">
      <c r="Q1268" s="374">
        <f t="shared" si="61"/>
        <v>1.2309999999999752</v>
      </c>
      <c r="R1268" s="206">
        <v>1.25</v>
      </c>
    </row>
    <row r="1269" spans="17:18">
      <c r="Q1269" s="374">
        <f t="shared" si="61"/>
        <v>1.2319999999999751</v>
      </c>
      <c r="R1269" s="206">
        <v>1.25</v>
      </c>
    </row>
    <row r="1270" spans="17:18">
      <c r="Q1270" s="374">
        <f t="shared" si="61"/>
        <v>1.232999999999975</v>
      </c>
      <c r="R1270" s="206">
        <v>1.25</v>
      </c>
    </row>
    <row r="1271" spans="17:18">
      <c r="Q1271" s="374">
        <f t="shared" si="61"/>
        <v>1.2339999999999749</v>
      </c>
      <c r="R1271" s="206">
        <v>1.25</v>
      </c>
    </row>
    <row r="1272" spans="17:18">
      <c r="Q1272" s="374">
        <f t="shared" si="61"/>
        <v>1.2349999999999748</v>
      </c>
      <c r="R1272" s="206">
        <v>1.25</v>
      </c>
    </row>
    <row r="1273" spans="17:18">
      <c r="Q1273" s="374">
        <f t="shared" si="61"/>
        <v>1.2359999999999747</v>
      </c>
      <c r="R1273" s="206">
        <v>1.25</v>
      </c>
    </row>
    <row r="1274" spans="17:18">
      <c r="Q1274" s="374">
        <f t="shared" si="61"/>
        <v>1.2369999999999746</v>
      </c>
      <c r="R1274" s="206">
        <v>1.25</v>
      </c>
    </row>
    <row r="1275" spans="17:18">
      <c r="Q1275" s="374">
        <f t="shared" si="61"/>
        <v>1.2379999999999745</v>
      </c>
      <c r="R1275" s="206">
        <v>1.25</v>
      </c>
    </row>
    <row r="1276" spans="17:18">
      <c r="Q1276" s="374">
        <f t="shared" si="61"/>
        <v>1.2389999999999743</v>
      </c>
      <c r="R1276" s="206">
        <v>1.25</v>
      </c>
    </row>
    <row r="1277" spans="17:18">
      <c r="Q1277" s="374">
        <f t="shared" si="61"/>
        <v>1.2399999999999742</v>
      </c>
      <c r="R1277" s="206">
        <v>1.25</v>
      </c>
    </row>
    <row r="1278" spans="17:18">
      <c r="Q1278" s="374">
        <f t="shared" si="61"/>
        <v>1.2409999999999741</v>
      </c>
      <c r="R1278" s="206">
        <v>1.25</v>
      </c>
    </row>
    <row r="1279" spans="17:18">
      <c r="Q1279" s="374">
        <f t="shared" si="61"/>
        <v>1.241999999999974</v>
      </c>
      <c r="R1279" s="206">
        <v>1.25</v>
      </c>
    </row>
    <row r="1280" spans="17:18">
      <c r="Q1280" s="374">
        <f t="shared" si="61"/>
        <v>1.2429999999999739</v>
      </c>
      <c r="R1280" s="206">
        <v>1.25</v>
      </c>
    </row>
    <row r="1281" spans="17:18">
      <c r="Q1281" s="374">
        <f t="shared" si="61"/>
        <v>1.2439999999999738</v>
      </c>
      <c r="R1281" s="206">
        <v>1.25</v>
      </c>
    </row>
    <row r="1282" spans="17:18">
      <c r="Q1282" s="374">
        <f t="shared" si="61"/>
        <v>1.2449999999999737</v>
      </c>
      <c r="R1282" s="206">
        <v>1.25</v>
      </c>
    </row>
    <row r="1283" spans="17:18">
      <c r="Q1283" s="374">
        <f t="shared" si="61"/>
        <v>1.2459999999999736</v>
      </c>
      <c r="R1283" s="206">
        <v>1.25</v>
      </c>
    </row>
    <row r="1284" spans="17:18">
      <c r="Q1284" s="374">
        <f t="shared" si="61"/>
        <v>1.2469999999999735</v>
      </c>
      <c r="R1284" s="206">
        <v>1.25</v>
      </c>
    </row>
    <row r="1285" spans="17:18">
      <c r="Q1285" s="374">
        <f t="shared" si="61"/>
        <v>1.2479999999999734</v>
      </c>
      <c r="R1285" s="206">
        <v>1.25</v>
      </c>
    </row>
    <row r="1286" spans="17:18">
      <c r="Q1286" s="374">
        <f t="shared" si="61"/>
        <v>1.2489999999999732</v>
      </c>
      <c r="R1286" s="206">
        <v>1.25</v>
      </c>
    </row>
    <row r="1287" spans="17:18">
      <c r="Q1287" s="374">
        <f t="shared" si="61"/>
        <v>1.2499999999999731</v>
      </c>
      <c r="R1287" s="206">
        <v>1.25</v>
      </c>
    </row>
    <row r="1288" spans="17:18">
      <c r="Q1288" s="374">
        <f t="shared" si="61"/>
        <v>1.250999999999973</v>
      </c>
      <c r="R1288" s="206">
        <v>1.5</v>
      </c>
    </row>
    <row r="1289" spans="17:18">
      <c r="Q1289" s="374">
        <f t="shared" si="61"/>
        <v>1.2519999999999729</v>
      </c>
      <c r="R1289" s="206">
        <v>1.5</v>
      </c>
    </row>
    <row r="1290" spans="17:18">
      <c r="Q1290" s="374">
        <f t="shared" si="61"/>
        <v>1.2529999999999728</v>
      </c>
      <c r="R1290" s="206">
        <v>1.5</v>
      </c>
    </row>
    <row r="1291" spans="17:18">
      <c r="Q1291" s="374">
        <f t="shared" si="61"/>
        <v>1.2539999999999727</v>
      </c>
      <c r="R1291" s="206">
        <v>1.5</v>
      </c>
    </row>
    <row r="1292" spans="17:18">
      <c r="Q1292" s="374">
        <f t="shared" si="61"/>
        <v>1.2549999999999726</v>
      </c>
      <c r="R1292" s="206">
        <v>1.5</v>
      </c>
    </row>
    <row r="1293" spans="17:18">
      <c r="Q1293" s="374">
        <f t="shared" si="61"/>
        <v>1.2559999999999725</v>
      </c>
      <c r="R1293" s="206">
        <v>1.5</v>
      </c>
    </row>
    <row r="1294" spans="17:18">
      <c r="Q1294" s="374">
        <f t="shared" si="61"/>
        <v>1.2569999999999724</v>
      </c>
      <c r="R1294" s="206">
        <v>1.5</v>
      </c>
    </row>
    <row r="1295" spans="17:18">
      <c r="Q1295" s="374">
        <f t="shared" si="61"/>
        <v>1.2579999999999723</v>
      </c>
      <c r="R1295" s="206">
        <v>1.5</v>
      </c>
    </row>
    <row r="1296" spans="17:18">
      <c r="Q1296" s="374">
        <f t="shared" si="61"/>
        <v>1.2589999999999721</v>
      </c>
      <c r="R1296" s="206">
        <v>1.5</v>
      </c>
    </row>
    <row r="1297" spans="17:18">
      <c r="Q1297" s="374">
        <f t="shared" si="61"/>
        <v>1.259999999999972</v>
      </c>
      <c r="R1297" s="206">
        <v>1.5</v>
      </c>
    </row>
    <row r="1298" spans="17:18">
      <c r="Q1298" s="374">
        <f t="shared" si="61"/>
        <v>1.2609999999999719</v>
      </c>
      <c r="R1298" s="206">
        <v>1.5</v>
      </c>
    </row>
    <row r="1299" spans="17:18">
      <c r="Q1299" s="374">
        <f t="shared" si="61"/>
        <v>1.2619999999999718</v>
      </c>
      <c r="R1299" s="206">
        <v>1.5</v>
      </c>
    </row>
    <row r="1300" spans="17:18">
      <c r="Q1300" s="374">
        <f t="shared" si="61"/>
        <v>1.2629999999999717</v>
      </c>
      <c r="R1300" s="206">
        <v>1.5</v>
      </c>
    </row>
    <row r="1301" spans="17:18">
      <c r="Q1301" s="374">
        <f t="shared" si="61"/>
        <v>1.2639999999999716</v>
      </c>
      <c r="R1301" s="206">
        <v>1.5</v>
      </c>
    </row>
    <row r="1302" spans="17:18">
      <c r="Q1302" s="374">
        <f t="shared" si="61"/>
        <v>1.2649999999999715</v>
      </c>
      <c r="R1302" s="206">
        <v>1.5</v>
      </c>
    </row>
    <row r="1303" spans="17:18">
      <c r="Q1303" s="374">
        <f t="shared" si="61"/>
        <v>1.2659999999999714</v>
      </c>
      <c r="R1303" s="206">
        <v>1.5</v>
      </c>
    </row>
    <row r="1304" spans="17:18">
      <c r="Q1304" s="374">
        <f t="shared" si="61"/>
        <v>1.2669999999999713</v>
      </c>
      <c r="R1304" s="206">
        <v>1.5</v>
      </c>
    </row>
    <row r="1305" spans="17:18">
      <c r="Q1305" s="374">
        <f t="shared" si="61"/>
        <v>1.2679999999999712</v>
      </c>
      <c r="R1305" s="206">
        <v>1.5</v>
      </c>
    </row>
    <row r="1306" spans="17:18">
      <c r="Q1306" s="374">
        <f t="shared" si="61"/>
        <v>1.268999999999971</v>
      </c>
      <c r="R1306" s="206">
        <v>1.5</v>
      </c>
    </row>
    <row r="1307" spans="17:18">
      <c r="Q1307" s="374">
        <f t="shared" si="61"/>
        <v>1.2699999999999709</v>
      </c>
      <c r="R1307" s="206">
        <v>1.5</v>
      </c>
    </row>
    <row r="1308" spans="17:18">
      <c r="Q1308" s="374">
        <f t="shared" si="61"/>
        <v>1.2709999999999708</v>
      </c>
      <c r="R1308" s="206">
        <v>1.5</v>
      </c>
    </row>
    <row r="1309" spans="17:18">
      <c r="Q1309" s="374">
        <f t="shared" si="61"/>
        <v>1.2719999999999707</v>
      </c>
      <c r="R1309" s="206">
        <v>1.5</v>
      </c>
    </row>
    <row r="1310" spans="17:18">
      <c r="Q1310" s="374">
        <f t="shared" si="61"/>
        <v>1.2729999999999706</v>
      </c>
      <c r="R1310" s="206">
        <v>1.5</v>
      </c>
    </row>
    <row r="1311" spans="17:18">
      <c r="Q1311" s="374">
        <f t="shared" si="61"/>
        <v>1.2739999999999705</v>
      </c>
      <c r="R1311" s="206">
        <v>1.5</v>
      </c>
    </row>
    <row r="1312" spans="17:18">
      <c r="Q1312" s="374">
        <f t="shared" si="61"/>
        <v>1.2749999999999704</v>
      </c>
      <c r="R1312" s="206">
        <v>1.5</v>
      </c>
    </row>
    <row r="1313" spans="17:18">
      <c r="Q1313" s="374">
        <f t="shared" si="61"/>
        <v>1.2759999999999703</v>
      </c>
      <c r="R1313" s="206">
        <v>1.5</v>
      </c>
    </row>
    <row r="1314" spans="17:18">
      <c r="Q1314" s="374">
        <f t="shared" si="61"/>
        <v>1.2769999999999702</v>
      </c>
      <c r="R1314" s="206">
        <v>1.5</v>
      </c>
    </row>
    <row r="1315" spans="17:18">
      <c r="Q1315" s="374">
        <f t="shared" si="61"/>
        <v>1.27799999999997</v>
      </c>
      <c r="R1315" s="206">
        <v>1.5</v>
      </c>
    </row>
    <row r="1316" spans="17:18">
      <c r="Q1316" s="374">
        <f t="shared" si="61"/>
        <v>1.2789999999999699</v>
      </c>
      <c r="R1316" s="206">
        <v>1.5</v>
      </c>
    </row>
    <row r="1317" spans="17:18">
      <c r="Q1317" s="374">
        <f t="shared" si="61"/>
        <v>1.2799999999999698</v>
      </c>
      <c r="R1317" s="206">
        <v>1.5</v>
      </c>
    </row>
    <row r="1318" spans="17:18">
      <c r="Q1318" s="374">
        <f t="shared" si="61"/>
        <v>1.2809999999999697</v>
      </c>
      <c r="R1318" s="206">
        <v>1.5</v>
      </c>
    </row>
    <row r="1319" spans="17:18">
      <c r="Q1319" s="374">
        <f t="shared" ref="Q1319:Q1382" si="62">Q1318+0.001</f>
        <v>1.2819999999999696</v>
      </c>
      <c r="R1319" s="206">
        <v>1.5</v>
      </c>
    </row>
    <row r="1320" spans="17:18">
      <c r="Q1320" s="374">
        <f t="shared" si="62"/>
        <v>1.2829999999999695</v>
      </c>
      <c r="R1320" s="206">
        <v>1.5</v>
      </c>
    </row>
    <row r="1321" spans="17:18">
      <c r="Q1321" s="374">
        <f t="shared" si="62"/>
        <v>1.2839999999999694</v>
      </c>
      <c r="R1321" s="206">
        <v>1.5</v>
      </c>
    </row>
    <row r="1322" spans="17:18">
      <c r="Q1322" s="374">
        <f t="shared" si="62"/>
        <v>1.2849999999999693</v>
      </c>
      <c r="R1322" s="206">
        <v>1.5</v>
      </c>
    </row>
    <row r="1323" spans="17:18">
      <c r="Q1323" s="374">
        <f t="shared" si="62"/>
        <v>1.2859999999999692</v>
      </c>
      <c r="R1323" s="206">
        <v>1.5</v>
      </c>
    </row>
    <row r="1324" spans="17:18">
      <c r="Q1324" s="374">
        <f t="shared" si="62"/>
        <v>1.2869999999999691</v>
      </c>
      <c r="R1324" s="206">
        <v>1.5</v>
      </c>
    </row>
    <row r="1325" spans="17:18">
      <c r="Q1325" s="374">
        <f t="shared" si="62"/>
        <v>1.2879999999999689</v>
      </c>
      <c r="R1325" s="206">
        <v>1.5</v>
      </c>
    </row>
    <row r="1326" spans="17:18">
      <c r="Q1326" s="374">
        <f t="shared" si="62"/>
        <v>1.2889999999999688</v>
      </c>
      <c r="R1326" s="206">
        <v>1.5</v>
      </c>
    </row>
    <row r="1327" spans="17:18">
      <c r="Q1327" s="374">
        <f t="shared" si="62"/>
        <v>1.2899999999999687</v>
      </c>
      <c r="R1327" s="206">
        <v>1.5</v>
      </c>
    </row>
    <row r="1328" spans="17:18">
      <c r="Q1328" s="374">
        <f t="shared" si="62"/>
        <v>1.2909999999999686</v>
      </c>
      <c r="R1328" s="206">
        <v>1.5</v>
      </c>
    </row>
    <row r="1329" spans="17:18">
      <c r="Q1329" s="374">
        <f t="shared" si="62"/>
        <v>1.2919999999999685</v>
      </c>
      <c r="R1329" s="206">
        <v>1.5</v>
      </c>
    </row>
    <row r="1330" spans="17:18">
      <c r="Q1330" s="374">
        <f t="shared" si="62"/>
        <v>1.2929999999999684</v>
      </c>
      <c r="R1330" s="206">
        <v>1.5</v>
      </c>
    </row>
    <row r="1331" spans="17:18">
      <c r="Q1331" s="374">
        <f t="shared" si="62"/>
        <v>1.2939999999999683</v>
      </c>
      <c r="R1331" s="206">
        <v>1.5</v>
      </c>
    </row>
    <row r="1332" spans="17:18">
      <c r="Q1332" s="374">
        <f t="shared" si="62"/>
        <v>1.2949999999999682</v>
      </c>
      <c r="R1332" s="206">
        <v>1.5</v>
      </c>
    </row>
    <row r="1333" spans="17:18">
      <c r="Q1333" s="374">
        <f t="shared" si="62"/>
        <v>1.2959999999999681</v>
      </c>
      <c r="R1333" s="206">
        <v>1.5</v>
      </c>
    </row>
    <row r="1334" spans="17:18">
      <c r="Q1334" s="374">
        <f t="shared" si="62"/>
        <v>1.296999999999968</v>
      </c>
      <c r="R1334" s="206">
        <v>1.5</v>
      </c>
    </row>
    <row r="1335" spans="17:18">
      <c r="Q1335" s="374">
        <f t="shared" si="62"/>
        <v>1.2979999999999678</v>
      </c>
      <c r="R1335" s="206">
        <v>1.5</v>
      </c>
    </row>
    <row r="1336" spans="17:18">
      <c r="Q1336" s="374">
        <f t="shared" si="62"/>
        <v>1.2989999999999677</v>
      </c>
      <c r="R1336" s="206">
        <v>1.5</v>
      </c>
    </row>
    <row r="1337" spans="17:18">
      <c r="Q1337" s="374">
        <f t="shared" si="62"/>
        <v>1.2999999999999676</v>
      </c>
      <c r="R1337" s="206">
        <v>1.5</v>
      </c>
    </row>
    <row r="1338" spans="17:18">
      <c r="Q1338" s="374">
        <f t="shared" si="62"/>
        <v>1.3009999999999675</v>
      </c>
      <c r="R1338" s="206">
        <v>1.5</v>
      </c>
    </row>
    <row r="1339" spans="17:18">
      <c r="Q1339" s="374">
        <f t="shared" si="62"/>
        <v>1.3019999999999674</v>
      </c>
      <c r="R1339" s="206">
        <v>1.5</v>
      </c>
    </row>
    <row r="1340" spans="17:18">
      <c r="Q1340" s="374">
        <f t="shared" si="62"/>
        <v>1.3029999999999673</v>
      </c>
      <c r="R1340" s="206">
        <v>1.5</v>
      </c>
    </row>
    <row r="1341" spans="17:18">
      <c r="Q1341" s="374">
        <f t="shared" si="62"/>
        <v>1.3039999999999672</v>
      </c>
      <c r="R1341" s="206">
        <v>1.5</v>
      </c>
    </row>
    <row r="1342" spans="17:18">
      <c r="Q1342" s="374">
        <f t="shared" si="62"/>
        <v>1.3049999999999671</v>
      </c>
      <c r="R1342" s="206">
        <v>1.5</v>
      </c>
    </row>
    <row r="1343" spans="17:18">
      <c r="Q1343" s="374">
        <f t="shared" si="62"/>
        <v>1.305999999999967</v>
      </c>
      <c r="R1343" s="206">
        <v>1.5</v>
      </c>
    </row>
    <row r="1344" spans="17:18">
      <c r="Q1344" s="374">
        <f t="shared" si="62"/>
        <v>1.3069999999999669</v>
      </c>
      <c r="R1344" s="206">
        <v>1.5</v>
      </c>
    </row>
    <row r="1345" spans="17:18">
      <c r="Q1345" s="374">
        <f t="shared" si="62"/>
        <v>1.3079999999999667</v>
      </c>
      <c r="R1345" s="206">
        <v>1.5</v>
      </c>
    </row>
    <row r="1346" spans="17:18">
      <c r="Q1346" s="374">
        <f t="shared" si="62"/>
        <v>1.3089999999999666</v>
      </c>
      <c r="R1346" s="206">
        <v>1.5</v>
      </c>
    </row>
    <row r="1347" spans="17:18">
      <c r="Q1347" s="374">
        <f t="shared" si="62"/>
        <v>1.3099999999999665</v>
      </c>
      <c r="R1347" s="206">
        <v>1.5</v>
      </c>
    </row>
    <row r="1348" spans="17:18">
      <c r="Q1348" s="374">
        <f t="shared" si="62"/>
        <v>1.3109999999999664</v>
      </c>
      <c r="R1348" s="206">
        <v>1.5</v>
      </c>
    </row>
    <row r="1349" spans="17:18">
      <c r="Q1349" s="374">
        <f t="shared" si="62"/>
        <v>1.3119999999999663</v>
      </c>
      <c r="R1349" s="206">
        <v>1.5</v>
      </c>
    </row>
    <row r="1350" spans="17:18">
      <c r="Q1350" s="374">
        <f t="shared" si="62"/>
        <v>1.3129999999999662</v>
      </c>
      <c r="R1350" s="206">
        <v>1.5</v>
      </c>
    </row>
    <row r="1351" spans="17:18">
      <c r="Q1351" s="374">
        <f t="shared" si="62"/>
        <v>1.3139999999999661</v>
      </c>
      <c r="R1351" s="206">
        <v>1.5</v>
      </c>
    </row>
    <row r="1352" spans="17:18">
      <c r="Q1352" s="374">
        <f t="shared" si="62"/>
        <v>1.314999999999966</v>
      </c>
      <c r="R1352" s="206">
        <v>1.5</v>
      </c>
    </row>
    <row r="1353" spans="17:18">
      <c r="Q1353" s="374">
        <f t="shared" si="62"/>
        <v>1.3159999999999659</v>
      </c>
      <c r="R1353" s="206">
        <v>1.5</v>
      </c>
    </row>
    <row r="1354" spans="17:18">
      <c r="Q1354" s="374">
        <f t="shared" si="62"/>
        <v>1.3169999999999658</v>
      </c>
      <c r="R1354" s="206">
        <v>1.5</v>
      </c>
    </row>
    <row r="1355" spans="17:18">
      <c r="Q1355" s="374">
        <f t="shared" si="62"/>
        <v>1.3179999999999656</v>
      </c>
      <c r="R1355" s="206">
        <v>1.5</v>
      </c>
    </row>
    <row r="1356" spans="17:18">
      <c r="Q1356" s="374">
        <f t="shared" si="62"/>
        <v>1.3189999999999655</v>
      </c>
      <c r="R1356" s="206">
        <v>1.5</v>
      </c>
    </row>
    <row r="1357" spans="17:18">
      <c r="Q1357" s="374">
        <f t="shared" si="62"/>
        <v>1.3199999999999654</v>
      </c>
      <c r="R1357" s="206">
        <v>1.5</v>
      </c>
    </row>
    <row r="1358" spans="17:18">
      <c r="Q1358" s="374">
        <f t="shared" si="62"/>
        <v>1.3209999999999653</v>
      </c>
      <c r="R1358" s="206">
        <v>1.5</v>
      </c>
    </row>
    <row r="1359" spans="17:18">
      <c r="Q1359" s="374">
        <f t="shared" si="62"/>
        <v>1.3219999999999652</v>
      </c>
      <c r="R1359" s="206">
        <v>1.5</v>
      </c>
    </row>
    <row r="1360" spans="17:18">
      <c r="Q1360" s="374">
        <f t="shared" si="62"/>
        <v>1.3229999999999651</v>
      </c>
      <c r="R1360" s="206">
        <v>1.5</v>
      </c>
    </row>
    <row r="1361" spans="17:18">
      <c r="Q1361" s="374">
        <f t="shared" si="62"/>
        <v>1.323999999999965</v>
      </c>
      <c r="R1361" s="206">
        <v>1.5</v>
      </c>
    </row>
    <row r="1362" spans="17:18">
      <c r="Q1362" s="374">
        <f t="shared" si="62"/>
        <v>1.3249999999999649</v>
      </c>
      <c r="R1362" s="206">
        <v>1.5</v>
      </c>
    </row>
    <row r="1363" spans="17:18">
      <c r="Q1363" s="374">
        <f t="shared" si="62"/>
        <v>1.3259999999999648</v>
      </c>
      <c r="R1363" s="206">
        <v>1.5</v>
      </c>
    </row>
    <row r="1364" spans="17:18">
      <c r="Q1364" s="374">
        <f t="shared" si="62"/>
        <v>1.3269999999999647</v>
      </c>
      <c r="R1364" s="206">
        <v>1.5</v>
      </c>
    </row>
    <row r="1365" spans="17:18">
      <c r="Q1365" s="374">
        <f t="shared" si="62"/>
        <v>1.3279999999999645</v>
      </c>
      <c r="R1365" s="206">
        <v>1.5</v>
      </c>
    </row>
    <row r="1366" spans="17:18">
      <c r="Q1366" s="374">
        <f t="shared" si="62"/>
        <v>1.3289999999999644</v>
      </c>
      <c r="R1366" s="206">
        <v>1.5</v>
      </c>
    </row>
    <row r="1367" spans="17:18">
      <c r="Q1367" s="374">
        <f t="shared" si="62"/>
        <v>1.3299999999999643</v>
      </c>
      <c r="R1367" s="206">
        <v>1.5</v>
      </c>
    </row>
    <row r="1368" spans="17:18">
      <c r="Q1368" s="374">
        <f t="shared" si="62"/>
        <v>1.3309999999999642</v>
      </c>
      <c r="R1368" s="206">
        <v>1.5</v>
      </c>
    </row>
    <row r="1369" spans="17:18">
      <c r="Q1369" s="374">
        <f t="shared" si="62"/>
        <v>1.3319999999999641</v>
      </c>
      <c r="R1369" s="206">
        <v>1.5</v>
      </c>
    </row>
    <row r="1370" spans="17:18">
      <c r="Q1370" s="374">
        <f t="shared" si="62"/>
        <v>1.332999999999964</v>
      </c>
      <c r="R1370" s="206">
        <v>1.5</v>
      </c>
    </row>
    <row r="1371" spans="17:18">
      <c r="Q1371" s="374">
        <f t="shared" si="62"/>
        <v>1.3339999999999639</v>
      </c>
      <c r="R1371" s="206">
        <v>1.5</v>
      </c>
    </row>
    <row r="1372" spans="17:18">
      <c r="Q1372" s="374">
        <f t="shared" si="62"/>
        <v>1.3349999999999638</v>
      </c>
      <c r="R1372" s="206">
        <v>1.5</v>
      </c>
    </row>
    <row r="1373" spans="17:18">
      <c r="Q1373" s="374">
        <f t="shared" si="62"/>
        <v>1.3359999999999637</v>
      </c>
      <c r="R1373" s="206">
        <v>1.5</v>
      </c>
    </row>
    <row r="1374" spans="17:18">
      <c r="Q1374" s="374">
        <f t="shared" si="62"/>
        <v>1.3369999999999636</v>
      </c>
      <c r="R1374" s="206">
        <v>1.5</v>
      </c>
    </row>
    <row r="1375" spans="17:18">
      <c r="Q1375" s="374">
        <f t="shared" si="62"/>
        <v>1.3379999999999634</v>
      </c>
      <c r="R1375" s="206">
        <v>1.5</v>
      </c>
    </row>
    <row r="1376" spans="17:18">
      <c r="Q1376" s="374">
        <f t="shared" si="62"/>
        <v>1.3389999999999633</v>
      </c>
      <c r="R1376" s="206">
        <v>1.5</v>
      </c>
    </row>
    <row r="1377" spans="17:18">
      <c r="Q1377" s="374">
        <f t="shared" si="62"/>
        <v>1.3399999999999632</v>
      </c>
      <c r="R1377" s="206">
        <v>1.5</v>
      </c>
    </row>
    <row r="1378" spans="17:18">
      <c r="Q1378" s="374">
        <f t="shared" si="62"/>
        <v>1.3409999999999631</v>
      </c>
      <c r="R1378" s="206">
        <v>1.5</v>
      </c>
    </row>
    <row r="1379" spans="17:18">
      <c r="Q1379" s="374">
        <f t="shared" si="62"/>
        <v>1.341999999999963</v>
      </c>
      <c r="R1379" s="206">
        <v>1.5</v>
      </c>
    </row>
    <row r="1380" spans="17:18">
      <c r="Q1380" s="374">
        <f t="shared" si="62"/>
        <v>1.3429999999999629</v>
      </c>
      <c r="R1380" s="206">
        <v>1.5</v>
      </c>
    </row>
    <row r="1381" spans="17:18">
      <c r="Q1381" s="374">
        <f t="shared" si="62"/>
        <v>1.3439999999999628</v>
      </c>
      <c r="R1381" s="206">
        <v>1.5</v>
      </c>
    </row>
    <row r="1382" spans="17:18">
      <c r="Q1382" s="374">
        <f t="shared" si="62"/>
        <v>1.3449999999999627</v>
      </c>
      <c r="R1382" s="206">
        <v>1.5</v>
      </c>
    </row>
    <row r="1383" spans="17:18">
      <c r="Q1383" s="374">
        <f t="shared" ref="Q1383:Q1446" si="63">Q1382+0.001</f>
        <v>1.3459999999999626</v>
      </c>
      <c r="R1383" s="206">
        <v>1.5</v>
      </c>
    </row>
    <row r="1384" spans="17:18">
      <c r="Q1384" s="374">
        <f t="shared" si="63"/>
        <v>1.3469999999999624</v>
      </c>
      <c r="R1384" s="206">
        <v>1.5</v>
      </c>
    </row>
    <row r="1385" spans="17:18">
      <c r="Q1385" s="374">
        <f t="shared" si="63"/>
        <v>1.3479999999999623</v>
      </c>
      <c r="R1385" s="206">
        <v>1.5</v>
      </c>
    </row>
    <row r="1386" spans="17:18">
      <c r="Q1386" s="374">
        <f t="shared" si="63"/>
        <v>1.3489999999999622</v>
      </c>
      <c r="R1386" s="206">
        <v>1.5</v>
      </c>
    </row>
    <row r="1387" spans="17:18">
      <c r="Q1387" s="374">
        <f t="shared" si="63"/>
        <v>1.3499999999999621</v>
      </c>
      <c r="R1387" s="206">
        <v>1.5</v>
      </c>
    </row>
    <row r="1388" spans="17:18">
      <c r="Q1388" s="374">
        <f t="shared" si="63"/>
        <v>1.350999999999962</v>
      </c>
      <c r="R1388" s="206">
        <v>1.5</v>
      </c>
    </row>
    <row r="1389" spans="17:18">
      <c r="Q1389" s="374">
        <f t="shared" si="63"/>
        <v>1.3519999999999619</v>
      </c>
      <c r="R1389" s="206">
        <v>1.5</v>
      </c>
    </row>
    <row r="1390" spans="17:18">
      <c r="Q1390" s="374">
        <f t="shared" si="63"/>
        <v>1.3529999999999618</v>
      </c>
      <c r="R1390" s="206">
        <v>1.5</v>
      </c>
    </row>
    <row r="1391" spans="17:18">
      <c r="Q1391" s="374">
        <f t="shared" si="63"/>
        <v>1.3539999999999617</v>
      </c>
      <c r="R1391" s="206">
        <v>1.5</v>
      </c>
    </row>
    <row r="1392" spans="17:18">
      <c r="Q1392" s="374">
        <f t="shared" si="63"/>
        <v>1.3549999999999616</v>
      </c>
      <c r="R1392" s="206">
        <v>1.5</v>
      </c>
    </row>
    <row r="1393" spans="17:18">
      <c r="Q1393" s="374">
        <f t="shared" si="63"/>
        <v>1.3559999999999615</v>
      </c>
      <c r="R1393" s="206">
        <v>1.5</v>
      </c>
    </row>
    <row r="1394" spans="17:18">
      <c r="Q1394" s="374">
        <f t="shared" si="63"/>
        <v>1.3569999999999613</v>
      </c>
      <c r="R1394" s="206">
        <v>1.5</v>
      </c>
    </row>
    <row r="1395" spans="17:18">
      <c r="Q1395" s="374">
        <f t="shared" si="63"/>
        <v>1.3579999999999612</v>
      </c>
      <c r="R1395" s="206">
        <v>1.5</v>
      </c>
    </row>
    <row r="1396" spans="17:18">
      <c r="Q1396" s="374">
        <f t="shared" si="63"/>
        <v>1.3589999999999611</v>
      </c>
      <c r="R1396" s="206">
        <v>1.5</v>
      </c>
    </row>
    <row r="1397" spans="17:18">
      <c r="Q1397" s="374">
        <f t="shared" si="63"/>
        <v>1.359999999999961</v>
      </c>
      <c r="R1397" s="206">
        <v>1.5</v>
      </c>
    </row>
    <row r="1398" spans="17:18">
      <c r="Q1398" s="374">
        <f t="shared" si="63"/>
        <v>1.3609999999999609</v>
      </c>
      <c r="R1398" s="206">
        <v>1.5</v>
      </c>
    </row>
    <row r="1399" spans="17:18">
      <c r="Q1399" s="374">
        <f t="shared" si="63"/>
        <v>1.3619999999999608</v>
      </c>
      <c r="R1399" s="206">
        <v>1.5</v>
      </c>
    </row>
    <row r="1400" spans="17:18">
      <c r="Q1400" s="374">
        <f t="shared" si="63"/>
        <v>1.3629999999999607</v>
      </c>
      <c r="R1400" s="206">
        <v>1.5</v>
      </c>
    </row>
    <row r="1401" spans="17:18">
      <c r="Q1401" s="374">
        <f t="shared" si="63"/>
        <v>1.3639999999999606</v>
      </c>
      <c r="R1401" s="206">
        <v>1.5</v>
      </c>
    </row>
    <row r="1402" spans="17:18">
      <c r="Q1402" s="374">
        <f t="shared" si="63"/>
        <v>1.3649999999999605</v>
      </c>
      <c r="R1402" s="206">
        <v>1.5</v>
      </c>
    </row>
    <row r="1403" spans="17:18">
      <c r="Q1403" s="374">
        <f t="shared" si="63"/>
        <v>1.3659999999999604</v>
      </c>
      <c r="R1403" s="206">
        <v>1.5</v>
      </c>
    </row>
    <row r="1404" spans="17:18">
      <c r="Q1404" s="374">
        <f t="shared" si="63"/>
        <v>1.3669999999999602</v>
      </c>
      <c r="R1404" s="206">
        <v>1.5</v>
      </c>
    </row>
    <row r="1405" spans="17:18">
      <c r="Q1405" s="374">
        <f t="shared" si="63"/>
        <v>1.3679999999999601</v>
      </c>
      <c r="R1405" s="206">
        <v>1.5</v>
      </c>
    </row>
    <row r="1406" spans="17:18">
      <c r="Q1406" s="374">
        <f t="shared" si="63"/>
        <v>1.36899999999996</v>
      </c>
      <c r="R1406" s="206">
        <v>1.5</v>
      </c>
    </row>
    <row r="1407" spans="17:18">
      <c r="Q1407" s="374">
        <f t="shared" si="63"/>
        <v>1.3699999999999599</v>
      </c>
      <c r="R1407" s="206">
        <v>1.5</v>
      </c>
    </row>
    <row r="1408" spans="17:18">
      <c r="Q1408" s="374">
        <f t="shared" si="63"/>
        <v>1.3709999999999598</v>
      </c>
      <c r="R1408" s="206">
        <v>1.5</v>
      </c>
    </row>
    <row r="1409" spans="17:18">
      <c r="Q1409" s="374">
        <f t="shared" si="63"/>
        <v>1.3719999999999597</v>
      </c>
      <c r="R1409" s="206">
        <v>1.5</v>
      </c>
    </row>
    <row r="1410" spans="17:18">
      <c r="Q1410" s="374">
        <f t="shared" si="63"/>
        <v>1.3729999999999596</v>
      </c>
      <c r="R1410" s="206">
        <v>1.5</v>
      </c>
    </row>
    <row r="1411" spans="17:18">
      <c r="Q1411" s="374">
        <f t="shared" si="63"/>
        <v>1.3739999999999595</v>
      </c>
      <c r="R1411" s="206">
        <v>1.5</v>
      </c>
    </row>
    <row r="1412" spans="17:18">
      <c r="Q1412" s="374">
        <f t="shared" si="63"/>
        <v>1.3749999999999594</v>
      </c>
      <c r="R1412" s="206">
        <v>1.5</v>
      </c>
    </row>
    <row r="1413" spans="17:18">
      <c r="Q1413" s="374">
        <f t="shared" si="63"/>
        <v>1.3759999999999593</v>
      </c>
      <c r="R1413" s="206">
        <v>1.5</v>
      </c>
    </row>
    <row r="1414" spans="17:18">
      <c r="Q1414" s="374">
        <f t="shared" si="63"/>
        <v>1.3769999999999591</v>
      </c>
      <c r="R1414" s="206">
        <v>1.5</v>
      </c>
    </row>
    <row r="1415" spans="17:18">
      <c r="Q1415" s="374">
        <f t="shared" si="63"/>
        <v>1.377999999999959</v>
      </c>
      <c r="R1415" s="206">
        <v>1.5</v>
      </c>
    </row>
    <row r="1416" spans="17:18">
      <c r="Q1416" s="374">
        <f t="shared" si="63"/>
        <v>1.3789999999999589</v>
      </c>
      <c r="R1416" s="206">
        <v>1.5</v>
      </c>
    </row>
    <row r="1417" spans="17:18">
      <c r="Q1417" s="374">
        <f t="shared" si="63"/>
        <v>1.3799999999999588</v>
      </c>
      <c r="R1417" s="206">
        <v>1.5</v>
      </c>
    </row>
    <row r="1418" spans="17:18">
      <c r="Q1418" s="374">
        <f t="shared" si="63"/>
        <v>1.3809999999999587</v>
      </c>
      <c r="R1418" s="206">
        <v>1.5</v>
      </c>
    </row>
    <row r="1419" spans="17:18">
      <c r="Q1419" s="374">
        <f t="shared" si="63"/>
        <v>1.3819999999999586</v>
      </c>
      <c r="R1419" s="206">
        <v>1.5</v>
      </c>
    </row>
    <row r="1420" spans="17:18">
      <c r="Q1420" s="374">
        <f t="shared" si="63"/>
        <v>1.3829999999999585</v>
      </c>
      <c r="R1420" s="206">
        <v>1.5</v>
      </c>
    </row>
    <row r="1421" spans="17:18">
      <c r="Q1421" s="374">
        <f t="shared" si="63"/>
        <v>1.3839999999999584</v>
      </c>
      <c r="R1421" s="206">
        <v>1.5</v>
      </c>
    </row>
    <row r="1422" spans="17:18">
      <c r="Q1422" s="374">
        <f t="shared" si="63"/>
        <v>1.3849999999999583</v>
      </c>
      <c r="R1422" s="206">
        <v>1.5</v>
      </c>
    </row>
    <row r="1423" spans="17:18">
      <c r="Q1423" s="374">
        <f t="shared" si="63"/>
        <v>1.3859999999999582</v>
      </c>
      <c r="R1423" s="206">
        <v>1.5</v>
      </c>
    </row>
    <row r="1424" spans="17:18">
      <c r="Q1424" s="374">
        <f t="shared" si="63"/>
        <v>1.386999999999958</v>
      </c>
      <c r="R1424" s="206">
        <v>1.5</v>
      </c>
    </row>
    <row r="1425" spans="17:18">
      <c r="Q1425" s="374">
        <f t="shared" si="63"/>
        <v>1.3879999999999579</v>
      </c>
      <c r="R1425" s="206">
        <v>1.5</v>
      </c>
    </row>
    <row r="1426" spans="17:18">
      <c r="Q1426" s="374">
        <f t="shared" si="63"/>
        <v>1.3889999999999578</v>
      </c>
      <c r="R1426" s="206">
        <v>1.5</v>
      </c>
    </row>
    <row r="1427" spans="17:18">
      <c r="Q1427" s="374">
        <f t="shared" si="63"/>
        <v>1.3899999999999577</v>
      </c>
      <c r="R1427" s="206">
        <v>1.5</v>
      </c>
    </row>
    <row r="1428" spans="17:18">
      <c r="Q1428" s="374">
        <f t="shared" si="63"/>
        <v>1.3909999999999576</v>
      </c>
      <c r="R1428" s="206">
        <v>1.5</v>
      </c>
    </row>
    <row r="1429" spans="17:18">
      <c r="Q1429" s="374">
        <f t="shared" si="63"/>
        <v>1.3919999999999575</v>
      </c>
      <c r="R1429" s="206">
        <v>1.5</v>
      </c>
    </row>
    <row r="1430" spans="17:18">
      <c r="Q1430" s="374">
        <f t="shared" si="63"/>
        <v>1.3929999999999574</v>
      </c>
      <c r="R1430" s="206">
        <v>1.5</v>
      </c>
    </row>
    <row r="1431" spans="17:18">
      <c r="Q1431" s="374">
        <f t="shared" si="63"/>
        <v>1.3939999999999573</v>
      </c>
      <c r="R1431" s="206">
        <v>1.5</v>
      </c>
    </row>
    <row r="1432" spans="17:18">
      <c r="Q1432" s="374">
        <f t="shared" si="63"/>
        <v>1.3949999999999572</v>
      </c>
      <c r="R1432" s="206">
        <v>1.5</v>
      </c>
    </row>
    <row r="1433" spans="17:18">
      <c r="Q1433" s="374">
        <f t="shared" si="63"/>
        <v>1.3959999999999571</v>
      </c>
      <c r="R1433" s="206">
        <v>1.5</v>
      </c>
    </row>
    <row r="1434" spans="17:18">
      <c r="Q1434" s="374">
        <f t="shared" si="63"/>
        <v>1.3969999999999569</v>
      </c>
      <c r="R1434" s="206">
        <v>1.5</v>
      </c>
    </row>
    <row r="1435" spans="17:18">
      <c r="Q1435" s="374">
        <f t="shared" si="63"/>
        <v>1.3979999999999568</v>
      </c>
      <c r="R1435" s="206">
        <v>1.5</v>
      </c>
    </row>
    <row r="1436" spans="17:18">
      <c r="Q1436" s="374">
        <f t="shared" si="63"/>
        <v>1.3989999999999567</v>
      </c>
      <c r="R1436" s="206">
        <v>1.5</v>
      </c>
    </row>
    <row r="1437" spans="17:18">
      <c r="Q1437" s="374">
        <f t="shared" si="63"/>
        <v>1.3999999999999566</v>
      </c>
      <c r="R1437" s="206">
        <v>1.5</v>
      </c>
    </row>
    <row r="1438" spans="17:18">
      <c r="Q1438" s="374">
        <f t="shared" si="63"/>
        <v>1.4009999999999565</v>
      </c>
      <c r="R1438" s="206">
        <v>1.5</v>
      </c>
    </row>
    <row r="1439" spans="17:18">
      <c r="Q1439" s="374">
        <f t="shared" si="63"/>
        <v>1.4019999999999564</v>
      </c>
      <c r="R1439" s="206">
        <v>1.5</v>
      </c>
    </row>
    <row r="1440" spans="17:18">
      <c r="Q1440" s="374">
        <f t="shared" si="63"/>
        <v>1.4029999999999563</v>
      </c>
      <c r="R1440" s="206">
        <v>1.5</v>
      </c>
    </row>
    <row r="1441" spans="17:18">
      <c r="Q1441" s="374">
        <f t="shared" si="63"/>
        <v>1.4039999999999562</v>
      </c>
      <c r="R1441" s="206">
        <v>1.5</v>
      </c>
    </row>
    <row r="1442" spans="17:18">
      <c r="Q1442" s="374">
        <f t="shared" si="63"/>
        <v>1.4049999999999561</v>
      </c>
      <c r="R1442" s="206">
        <v>1.5</v>
      </c>
    </row>
    <row r="1443" spans="17:18">
      <c r="Q1443" s="374">
        <f t="shared" si="63"/>
        <v>1.405999999999956</v>
      </c>
      <c r="R1443" s="206">
        <v>1.5</v>
      </c>
    </row>
    <row r="1444" spans="17:18">
      <c r="Q1444" s="374">
        <f t="shared" si="63"/>
        <v>1.4069999999999558</v>
      </c>
      <c r="R1444" s="206">
        <v>1.5</v>
      </c>
    </row>
    <row r="1445" spans="17:18">
      <c r="Q1445" s="374">
        <f t="shared" si="63"/>
        <v>1.4079999999999557</v>
      </c>
      <c r="R1445" s="206">
        <v>1.5</v>
      </c>
    </row>
    <row r="1446" spans="17:18">
      <c r="Q1446" s="374">
        <f t="shared" si="63"/>
        <v>1.4089999999999556</v>
      </c>
      <c r="R1446" s="206">
        <v>1.5</v>
      </c>
    </row>
    <row r="1447" spans="17:18">
      <c r="Q1447" s="374">
        <f t="shared" ref="Q1447:Q1510" si="64">Q1446+0.001</f>
        <v>1.4099999999999555</v>
      </c>
      <c r="R1447" s="206">
        <v>1.5</v>
      </c>
    </row>
    <row r="1448" spans="17:18">
      <c r="Q1448" s="374">
        <f t="shared" si="64"/>
        <v>1.4109999999999554</v>
      </c>
      <c r="R1448" s="206">
        <v>1.5</v>
      </c>
    </row>
    <row r="1449" spans="17:18">
      <c r="Q1449" s="374">
        <f t="shared" si="64"/>
        <v>1.4119999999999553</v>
      </c>
      <c r="R1449" s="206">
        <v>1.5</v>
      </c>
    </row>
    <row r="1450" spans="17:18">
      <c r="Q1450" s="374">
        <f t="shared" si="64"/>
        <v>1.4129999999999552</v>
      </c>
      <c r="R1450" s="206">
        <v>1.5</v>
      </c>
    </row>
    <row r="1451" spans="17:18">
      <c r="Q1451" s="374">
        <f t="shared" si="64"/>
        <v>1.4139999999999551</v>
      </c>
      <c r="R1451" s="206">
        <v>1.5</v>
      </c>
    </row>
    <row r="1452" spans="17:18">
      <c r="Q1452" s="374">
        <f t="shared" si="64"/>
        <v>1.414999999999955</v>
      </c>
      <c r="R1452" s="206">
        <v>1.5</v>
      </c>
    </row>
    <row r="1453" spans="17:18">
      <c r="Q1453" s="374">
        <f t="shared" si="64"/>
        <v>1.4159999999999549</v>
      </c>
      <c r="R1453" s="206">
        <v>1.5</v>
      </c>
    </row>
    <row r="1454" spans="17:18">
      <c r="Q1454" s="374">
        <f t="shared" si="64"/>
        <v>1.4169999999999547</v>
      </c>
      <c r="R1454" s="206">
        <v>1.5</v>
      </c>
    </row>
    <row r="1455" spans="17:18">
      <c r="Q1455" s="374">
        <f t="shared" si="64"/>
        <v>1.4179999999999546</v>
      </c>
      <c r="R1455" s="206">
        <v>1.5</v>
      </c>
    </row>
    <row r="1456" spans="17:18">
      <c r="Q1456" s="374">
        <f t="shared" si="64"/>
        <v>1.4189999999999545</v>
      </c>
      <c r="R1456" s="206">
        <v>1.5</v>
      </c>
    </row>
    <row r="1457" spans="17:18">
      <c r="Q1457" s="374">
        <f t="shared" si="64"/>
        <v>1.4199999999999544</v>
      </c>
      <c r="R1457" s="206">
        <v>1.5</v>
      </c>
    </row>
    <row r="1458" spans="17:18">
      <c r="Q1458" s="374">
        <f t="shared" si="64"/>
        <v>1.4209999999999543</v>
      </c>
      <c r="R1458" s="206">
        <v>1.5</v>
      </c>
    </row>
    <row r="1459" spans="17:18">
      <c r="Q1459" s="374">
        <f t="shared" si="64"/>
        <v>1.4219999999999542</v>
      </c>
      <c r="R1459" s="206">
        <v>1.5</v>
      </c>
    </row>
    <row r="1460" spans="17:18">
      <c r="Q1460" s="374">
        <f t="shared" si="64"/>
        <v>1.4229999999999541</v>
      </c>
      <c r="R1460" s="206">
        <v>1.5</v>
      </c>
    </row>
    <row r="1461" spans="17:18">
      <c r="Q1461" s="374">
        <f t="shared" si="64"/>
        <v>1.423999999999954</v>
      </c>
      <c r="R1461" s="206">
        <v>1.5</v>
      </c>
    </row>
    <row r="1462" spans="17:18">
      <c r="Q1462" s="374">
        <f t="shared" si="64"/>
        <v>1.4249999999999539</v>
      </c>
      <c r="R1462" s="206">
        <v>1.5</v>
      </c>
    </row>
    <row r="1463" spans="17:18">
      <c r="Q1463" s="374">
        <f t="shared" si="64"/>
        <v>1.4259999999999537</v>
      </c>
      <c r="R1463" s="206">
        <v>1.5</v>
      </c>
    </row>
    <row r="1464" spans="17:18">
      <c r="Q1464" s="374">
        <f t="shared" si="64"/>
        <v>1.4269999999999536</v>
      </c>
      <c r="R1464" s="206">
        <v>1.5</v>
      </c>
    </row>
    <row r="1465" spans="17:18">
      <c r="Q1465" s="374">
        <f t="shared" si="64"/>
        <v>1.4279999999999535</v>
      </c>
      <c r="R1465" s="206">
        <v>1.5</v>
      </c>
    </row>
    <row r="1466" spans="17:18">
      <c r="Q1466" s="374">
        <f t="shared" si="64"/>
        <v>1.4289999999999534</v>
      </c>
      <c r="R1466" s="206">
        <v>1.5</v>
      </c>
    </row>
    <row r="1467" spans="17:18">
      <c r="Q1467" s="374">
        <f t="shared" si="64"/>
        <v>1.4299999999999533</v>
      </c>
      <c r="R1467" s="206">
        <v>1.5</v>
      </c>
    </row>
    <row r="1468" spans="17:18">
      <c r="Q1468" s="374">
        <f t="shared" si="64"/>
        <v>1.4309999999999532</v>
      </c>
      <c r="R1468" s="206">
        <v>1.5</v>
      </c>
    </row>
    <row r="1469" spans="17:18">
      <c r="Q1469" s="374">
        <f t="shared" si="64"/>
        <v>1.4319999999999531</v>
      </c>
      <c r="R1469" s="206">
        <v>1.5</v>
      </c>
    </row>
    <row r="1470" spans="17:18">
      <c r="Q1470" s="374">
        <f t="shared" si="64"/>
        <v>1.432999999999953</v>
      </c>
      <c r="R1470" s="206">
        <v>1.5</v>
      </c>
    </row>
    <row r="1471" spans="17:18">
      <c r="Q1471" s="374">
        <f t="shared" si="64"/>
        <v>1.4339999999999529</v>
      </c>
      <c r="R1471" s="206">
        <v>1.5</v>
      </c>
    </row>
    <row r="1472" spans="17:18">
      <c r="Q1472" s="374">
        <f t="shared" si="64"/>
        <v>1.4349999999999528</v>
      </c>
      <c r="R1472" s="206">
        <v>1.5</v>
      </c>
    </row>
    <row r="1473" spans="17:18">
      <c r="Q1473" s="374">
        <f t="shared" si="64"/>
        <v>1.4359999999999526</v>
      </c>
      <c r="R1473" s="206">
        <v>1.5</v>
      </c>
    </row>
    <row r="1474" spans="17:18">
      <c r="Q1474" s="374">
        <f t="shared" si="64"/>
        <v>1.4369999999999525</v>
      </c>
      <c r="R1474" s="206">
        <v>1.5</v>
      </c>
    </row>
    <row r="1475" spans="17:18">
      <c r="Q1475" s="374">
        <f t="shared" si="64"/>
        <v>1.4379999999999524</v>
      </c>
      <c r="R1475" s="206">
        <v>1.5</v>
      </c>
    </row>
    <row r="1476" spans="17:18">
      <c r="Q1476" s="374">
        <f t="shared" si="64"/>
        <v>1.4389999999999523</v>
      </c>
      <c r="R1476" s="206">
        <v>1.5</v>
      </c>
    </row>
    <row r="1477" spans="17:18">
      <c r="Q1477" s="374">
        <f t="shared" si="64"/>
        <v>1.4399999999999522</v>
      </c>
      <c r="R1477" s="206">
        <v>1.5</v>
      </c>
    </row>
    <row r="1478" spans="17:18">
      <c r="Q1478" s="374">
        <f t="shared" si="64"/>
        <v>1.4409999999999521</v>
      </c>
      <c r="R1478" s="206">
        <v>1.5</v>
      </c>
    </row>
    <row r="1479" spans="17:18">
      <c r="Q1479" s="374">
        <f t="shared" si="64"/>
        <v>1.441999999999952</v>
      </c>
      <c r="R1479" s="206">
        <v>1.5</v>
      </c>
    </row>
    <row r="1480" spans="17:18">
      <c r="Q1480" s="374">
        <f t="shared" si="64"/>
        <v>1.4429999999999519</v>
      </c>
      <c r="R1480" s="206">
        <v>1.5</v>
      </c>
    </row>
    <row r="1481" spans="17:18">
      <c r="Q1481" s="374">
        <f t="shared" si="64"/>
        <v>1.4439999999999518</v>
      </c>
      <c r="R1481" s="206">
        <v>1.5</v>
      </c>
    </row>
    <row r="1482" spans="17:18">
      <c r="Q1482" s="374">
        <f t="shared" si="64"/>
        <v>1.4449999999999517</v>
      </c>
      <c r="R1482" s="206">
        <v>1.5</v>
      </c>
    </row>
    <row r="1483" spans="17:18">
      <c r="Q1483" s="374">
        <f t="shared" si="64"/>
        <v>1.4459999999999515</v>
      </c>
      <c r="R1483" s="206">
        <v>1.5</v>
      </c>
    </row>
    <row r="1484" spans="17:18">
      <c r="Q1484" s="374">
        <f t="shared" si="64"/>
        <v>1.4469999999999514</v>
      </c>
      <c r="R1484" s="206">
        <v>1.5</v>
      </c>
    </row>
    <row r="1485" spans="17:18">
      <c r="Q1485" s="374">
        <f t="shared" si="64"/>
        <v>1.4479999999999513</v>
      </c>
      <c r="R1485" s="206">
        <v>1.5</v>
      </c>
    </row>
    <row r="1486" spans="17:18">
      <c r="Q1486" s="374">
        <f t="shared" si="64"/>
        <v>1.4489999999999512</v>
      </c>
      <c r="R1486" s="206">
        <v>1.5</v>
      </c>
    </row>
    <row r="1487" spans="17:18">
      <c r="Q1487" s="374">
        <f t="shared" si="64"/>
        <v>1.4499999999999511</v>
      </c>
      <c r="R1487" s="206">
        <v>1.5</v>
      </c>
    </row>
    <row r="1488" spans="17:18">
      <c r="Q1488" s="374">
        <f t="shared" si="64"/>
        <v>1.450999999999951</v>
      </c>
      <c r="R1488" s="206">
        <v>1.5</v>
      </c>
    </row>
    <row r="1489" spans="17:18">
      <c r="Q1489" s="374">
        <f t="shared" si="64"/>
        <v>1.4519999999999509</v>
      </c>
      <c r="R1489" s="206">
        <v>1.5</v>
      </c>
    </row>
    <row r="1490" spans="17:18">
      <c r="Q1490" s="374">
        <f t="shared" si="64"/>
        <v>1.4529999999999508</v>
      </c>
      <c r="R1490" s="206">
        <v>1.5</v>
      </c>
    </row>
    <row r="1491" spans="17:18">
      <c r="Q1491" s="374">
        <f t="shared" si="64"/>
        <v>1.4539999999999507</v>
      </c>
      <c r="R1491" s="206">
        <v>1.5</v>
      </c>
    </row>
    <row r="1492" spans="17:18">
      <c r="Q1492" s="374">
        <f t="shared" si="64"/>
        <v>1.4549999999999506</v>
      </c>
      <c r="R1492" s="206">
        <v>1.5</v>
      </c>
    </row>
    <row r="1493" spans="17:18">
      <c r="Q1493" s="374">
        <f t="shared" si="64"/>
        <v>1.4559999999999504</v>
      </c>
      <c r="R1493" s="206">
        <v>1.5</v>
      </c>
    </row>
    <row r="1494" spans="17:18">
      <c r="Q1494" s="374">
        <f t="shared" si="64"/>
        <v>1.4569999999999503</v>
      </c>
      <c r="R1494" s="206">
        <v>1.5</v>
      </c>
    </row>
    <row r="1495" spans="17:18">
      <c r="Q1495" s="374">
        <f t="shared" si="64"/>
        <v>1.4579999999999502</v>
      </c>
      <c r="R1495" s="206">
        <v>1.5</v>
      </c>
    </row>
    <row r="1496" spans="17:18">
      <c r="Q1496" s="374">
        <f t="shared" si="64"/>
        <v>1.4589999999999501</v>
      </c>
      <c r="R1496" s="206">
        <v>1.5</v>
      </c>
    </row>
    <row r="1497" spans="17:18">
      <c r="Q1497" s="374">
        <f t="shared" si="64"/>
        <v>1.45999999999995</v>
      </c>
      <c r="R1497" s="206">
        <v>1.5</v>
      </c>
    </row>
    <row r="1498" spans="17:18">
      <c r="Q1498" s="374">
        <f t="shared" si="64"/>
        <v>1.4609999999999499</v>
      </c>
      <c r="R1498" s="206">
        <v>1.5</v>
      </c>
    </row>
    <row r="1499" spans="17:18">
      <c r="Q1499" s="374">
        <f t="shared" si="64"/>
        <v>1.4619999999999498</v>
      </c>
      <c r="R1499" s="206">
        <v>1.5</v>
      </c>
    </row>
    <row r="1500" spans="17:18">
      <c r="Q1500" s="374">
        <f t="shared" si="64"/>
        <v>1.4629999999999497</v>
      </c>
      <c r="R1500" s="206">
        <v>1.5</v>
      </c>
    </row>
    <row r="1501" spans="17:18">
      <c r="Q1501" s="374">
        <f t="shared" si="64"/>
        <v>1.4639999999999496</v>
      </c>
      <c r="R1501" s="206">
        <v>1.5</v>
      </c>
    </row>
    <row r="1502" spans="17:18">
      <c r="Q1502" s="374">
        <f t="shared" si="64"/>
        <v>1.4649999999999495</v>
      </c>
      <c r="R1502" s="206">
        <v>1.5</v>
      </c>
    </row>
    <row r="1503" spans="17:18">
      <c r="Q1503" s="374">
        <f t="shared" si="64"/>
        <v>1.4659999999999493</v>
      </c>
      <c r="R1503" s="206">
        <v>1.5</v>
      </c>
    </row>
    <row r="1504" spans="17:18">
      <c r="Q1504" s="374">
        <f t="shared" si="64"/>
        <v>1.4669999999999492</v>
      </c>
      <c r="R1504" s="206">
        <v>1.5</v>
      </c>
    </row>
    <row r="1505" spans="17:18">
      <c r="Q1505" s="374">
        <f t="shared" si="64"/>
        <v>1.4679999999999491</v>
      </c>
      <c r="R1505" s="206">
        <v>1.5</v>
      </c>
    </row>
    <row r="1506" spans="17:18">
      <c r="Q1506" s="374">
        <f t="shared" si="64"/>
        <v>1.468999999999949</v>
      </c>
      <c r="R1506" s="206">
        <v>1.5</v>
      </c>
    </row>
    <row r="1507" spans="17:18">
      <c r="Q1507" s="374">
        <f t="shared" si="64"/>
        <v>1.4699999999999489</v>
      </c>
      <c r="R1507" s="206">
        <v>1.5</v>
      </c>
    </row>
    <row r="1508" spans="17:18">
      <c r="Q1508" s="374">
        <f t="shared" si="64"/>
        <v>1.4709999999999488</v>
      </c>
      <c r="R1508" s="206">
        <v>1.5</v>
      </c>
    </row>
    <row r="1509" spans="17:18">
      <c r="Q1509" s="374">
        <f t="shared" si="64"/>
        <v>1.4719999999999487</v>
      </c>
      <c r="R1509" s="206">
        <v>1.5</v>
      </c>
    </row>
    <row r="1510" spans="17:18">
      <c r="Q1510" s="374">
        <f t="shared" si="64"/>
        <v>1.4729999999999486</v>
      </c>
      <c r="R1510" s="206">
        <v>1.5</v>
      </c>
    </row>
    <row r="1511" spans="17:18">
      <c r="Q1511" s="374">
        <f t="shared" ref="Q1511:Q1574" si="65">Q1510+0.001</f>
        <v>1.4739999999999485</v>
      </c>
      <c r="R1511" s="206">
        <v>1.5</v>
      </c>
    </row>
    <row r="1512" spans="17:18">
      <c r="Q1512" s="374">
        <f t="shared" si="65"/>
        <v>1.4749999999999484</v>
      </c>
      <c r="R1512" s="206">
        <v>1.5</v>
      </c>
    </row>
    <row r="1513" spans="17:18">
      <c r="Q1513" s="374">
        <f t="shared" si="65"/>
        <v>1.4759999999999482</v>
      </c>
      <c r="R1513" s="206">
        <v>1.5</v>
      </c>
    </row>
    <row r="1514" spans="17:18">
      <c r="Q1514" s="374">
        <f t="shared" si="65"/>
        <v>1.4769999999999481</v>
      </c>
      <c r="R1514" s="206">
        <v>1.5</v>
      </c>
    </row>
    <row r="1515" spans="17:18">
      <c r="Q1515" s="374">
        <f t="shared" si="65"/>
        <v>1.477999999999948</v>
      </c>
      <c r="R1515" s="206">
        <v>1.5</v>
      </c>
    </row>
    <row r="1516" spans="17:18">
      <c r="Q1516" s="374">
        <f t="shared" si="65"/>
        <v>1.4789999999999479</v>
      </c>
      <c r="R1516" s="206">
        <v>1.5</v>
      </c>
    </row>
    <row r="1517" spans="17:18">
      <c r="Q1517" s="374">
        <f t="shared" si="65"/>
        <v>1.4799999999999478</v>
      </c>
      <c r="R1517" s="206">
        <v>1.5</v>
      </c>
    </row>
    <row r="1518" spans="17:18">
      <c r="Q1518" s="374">
        <f t="shared" si="65"/>
        <v>1.4809999999999477</v>
      </c>
      <c r="R1518" s="206">
        <v>1.5</v>
      </c>
    </row>
    <row r="1519" spans="17:18">
      <c r="Q1519" s="374">
        <f t="shared" si="65"/>
        <v>1.4819999999999476</v>
      </c>
      <c r="R1519" s="206">
        <v>1.5</v>
      </c>
    </row>
    <row r="1520" spans="17:18">
      <c r="Q1520" s="374">
        <f t="shared" si="65"/>
        <v>1.4829999999999475</v>
      </c>
      <c r="R1520" s="206">
        <v>1.5</v>
      </c>
    </row>
    <row r="1521" spans="17:18">
      <c r="Q1521" s="374">
        <f t="shared" si="65"/>
        <v>1.4839999999999474</v>
      </c>
      <c r="R1521" s="206">
        <v>1.5</v>
      </c>
    </row>
    <row r="1522" spans="17:18">
      <c r="Q1522" s="374">
        <f t="shared" si="65"/>
        <v>1.4849999999999473</v>
      </c>
      <c r="R1522" s="206">
        <v>1.5</v>
      </c>
    </row>
    <row r="1523" spans="17:18">
      <c r="Q1523" s="374">
        <f t="shared" si="65"/>
        <v>1.4859999999999471</v>
      </c>
      <c r="R1523" s="206">
        <v>1.5</v>
      </c>
    </row>
    <row r="1524" spans="17:18">
      <c r="Q1524" s="374">
        <f t="shared" si="65"/>
        <v>1.486999999999947</v>
      </c>
      <c r="R1524" s="206">
        <v>1.5</v>
      </c>
    </row>
    <row r="1525" spans="17:18">
      <c r="Q1525" s="374">
        <f t="shared" si="65"/>
        <v>1.4879999999999469</v>
      </c>
      <c r="R1525" s="206">
        <v>1.5</v>
      </c>
    </row>
    <row r="1526" spans="17:18">
      <c r="Q1526" s="374">
        <f t="shared" si="65"/>
        <v>1.4889999999999468</v>
      </c>
      <c r="R1526" s="206">
        <v>1.5</v>
      </c>
    </row>
    <row r="1527" spans="17:18">
      <c r="Q1527" s="374">
        <f t="shared" si="65"/>
        <v>1.4899999999999467</v>
      </c>
      <c r="R1527" s="206">
        <v>1.5</v>
      </c>
    </row>
    <row r="1528" spans="17:18">
      <c r="Q1528" s="374">
        <f t="shared" si="65"/>
        <v>1.4909999999999466</v>
      </c>
      <c r="R1528" s="206">
        <v>1.5</v>
      </c>
    </row>
    <row r="1529" spans="17:18">
      <c r="Q1529" s="374">
        <f t="shared" si="65"/>
        <v>1.4919999999999465</v>
      </c>
      <c r="R1529" s="206">
        <v>1.5</v>
      </c>
    </row>
    <row r="1530" spans="17:18">
      <c r="Q1530" s="374">
        <f t="shared" si="65"/>
        <v>1.4929999999999464</v>
      </c>
      <c r="R1530" s="206">
        <v>1.5</v>
      </c>
    </row>
    <row r="1531" spans="17:18">
      <c r="Q1531" s="374">
        <f t="shared" si="65"/>
        <v>1.4939999999999463</v>
      </c>
      <c r="R1531" s="206">
        <v>1.5</v>
      </c>
    </row>
    <row r="1532" spans="17:18">
      <c r="Q1532" s="374">
        <f t="shared" si="65"/>
        <v>1.4949999999999461</v>
      </c>
      <c r="R1532" s="206">
        <v>1.5</v>
      </c>
    </row>
    <row r="1533" spans="17:18">
      <c r="Q1533" s="374">
        <f t="shared" si="65"/>
        <v>1.495999999999946</v>
      </c>
      <c r="R1533" s="206">
        <v>1.5</v>
      </c>
    </row>
    <row r="1534" spans="17:18">
      <c r="Q1534" s="374">
        <f t="shared" si="65"/>
        <v>1.4969999999999459</v>
      </c>
      <c r="R1534" s="206">
        <v>1.5</v>
      </c>
    </row>
    <row r="1535" spans="17:18">
      <c r="Q1535" s="374">
        <f t="shared" si="65"/>
        <v>1.4979999999999458</v>
      </c>
      <c r="R1535" s="206">
        <v>1.5</v>
      </c>
    </row>
    <row r="1536" spans="17:18">
      <c r="Q1536" s="374">
        <f t="shared" si="65"/>
        <v>1.4989999999999457</v>
      </c>
      <c r="R1536" s="206">
        <v>1.5</v>
      </c>
    </row>
    <row r="1537" spans="17:18">
      <c r="Q1537" s="374">
        <f t="shared" si="65"/>
        <v>1.4999999999999456</v>
      </c>
      <c r="R1537" s="206">
        <v>1.5</v>
      </c>
    </row>
    <row r="1538" spans="17:18">
      <c r="Q1538" s="374">
        <f t="shared" si="65"/>
        <v>1.5009999999999455</v>
      </c>
      <c r="R1538" s="206">
        <v>1.75</v>
      </c>
    </row>
    <row r="1539" spans="17:18">
      <c r="Q1539" s="374">
        <f t="shared" si="65"/>
        <v>1.5019999999999454</v>
      </c>
      <c r="R1539" s="206">
        <v>1.75</v>
      </c>
    </row>
    <row r="1540" spans="17:18">
      <c r="Q1540" s="374">
        <f t="shared" si="65"/>
        <v>1.5029999999999453</v>
      </c>
      <c r="R1540" s="206">
        <v>1.75</v>
      </c>
    </row>
    <row r="1541" spans="17:18">
      <c r="Q1541" s="374">
        <f t="shared" si="65"/>
        <v>1.5039999999999452</v>
      </c>
      <c r="R1541" s="206">
        <v>1.75</v>
      </c>
    </row>
    <row r="1542" spans="17:18">
      <c r="Q1542" s="374">
        <f t="shared" si="65"/>
        <v>1.504999999999945</v>
      </c>
      <c r="R1542" s="206">
        <v>1.75</v>
      </c>
    </row>
    <row r="1543" spans="17:18">
      <c r="Q1543" s="374">
        <f t="shared" si="65"/>
        <v>1.5059999999999449</v>
      </c>
      <c r="R1543" s="206">
        <v>1.75</v>
      </c>
    </row>
    <row r="1544" spans="17:18">
      <c r="Q1544" s="374">
        <f t="shared" si="65"/>
        <v>1.5069999999999448</v>
      </c>
      <c r="R1544" s="206">
        <v>1.75</v>
      </c>
    </row>
    <row r="1545" spans="17:18">
      <c r="Q1545" s="374">
        <f t="shared" si="65"/>
        <v>1.5079999999999447</v>
      </c>
      <c r="R1545" s="206">
        <v>1.75</v>
      </c>
    </row>
    <row r="1546" spans="17:18">
      <c r="Q1546" s="374">
        <f t="shared" si="65"/>
        <v>1.5089999999999446</v>
      </c>
      <c r="R1546" s="206">
        <v>1.75</v>
      </c>
    </row>
    <row r="1547" spans="17:18">
      <c r="Q1547" s="374">
        <f t="shared" si="65"/>
        <v>1.5099999999999445</v>
      </c>
      <c r="R1547" s="206">
        <v>1.75</v>
      </c>
    </row>
    <row r="1548" spans="17:18">
      <c r="Q1548" s="374">
        <f t="shared" si="65"/>
        <v>1.5109999999999444</v>
      </c>
      <c r="R1548" s="206">
        <v>1.75</v>
      </c>
    </row>
    <row r="1549" spans="17:18">
      <c r="Q1549" s="374">
        <f t="shared" si="65"/>
        <v>1.5119999999999443</v>
      </c>
      <c r="R1549" s="206">
        <v>1.75</v>
      </c>
    </row>
    <row r="1550" spans="17:18">
      <c r="Q1550" s="374">
        <f t="shared" si="65"/>
        <v>1.5129999999999442</v>
      </c>
      <c r="R1550" s="206">
        <v>1.75</v>
      </c>
    </row>
    <row r="1551" spans="17:18">
      <c r="Q1551" s="374">
        <f t="shared" si="65"/>
        <v>1.5139999999999441</v>
      </c>
      <c r="R1551" s="206">
        <v>1.75</v>
      </c>
    </row>
    <row r="1552" spans="17:18">
      <c r="Q1552" s="374">
        <f t="shared" si="65"/>
        <v>1.5149999999999439</v>
      </c>
      <c r="R1552" s="206">
        <v>1.75</v>
      </c>
    </row>
    <row r="1553" spans="17:18">
      <c r="Q1553" s="374">
        <f t="shared" si="65"/>
        <v>1.5159999999999438</v>
      </c>
      <c r="R1553" s="206">
        <v>1.75</v>
      </c>
    </row>
    <row r="1554" spans="17:18">
      <c r="Q1554" s="374">
        <f t="shared" si="65"/>
        <v>1.5169999999999437</v>
      </c>
      <c r="R1554" s="206">
        <v>1.75</v>
      </c>
    </row>
    <row r="1555" spans="17:18">
      <c r="Q1555" s="374">
        <f t="shared" si="65"/>
        <v>1.5179999999999436</v>
      </c>
      <c r="R1555" s="206">
        <v>1.75</v>
      </c>
    </row>
    <row r="1556" spans="17:18">
      <c r="Q1556" s="374">
        <f t="shared" si="65"/>
        <v>1.5189999999999435</v>
      </c>
      <c r="R1556" s="206">
        <v>1.75</v>
      </c>
    </row>
    <row r="1557" spans="17:18">
      <c r="Q1557" s="374">
        <f t="shared" si="65"/>
        <v>1.5199999999999434</v>
      </c>
      <c r="R1557" s="206">
        <v>1.75</v>
      </c>
    </row>
    <row r="1558" spans="17:18">
      <c r="Q1558" s="374">
        <f t="shared" si="65"/>
        <v>1.5209999999999433</v>
      </c>
      <c r="R1558" s="206">
        <v>1.75</v>
      </c>
    </row>
    <row r="1559" spans="17:18">
      <c r="Q1559" s="374">
        <f t="shared" si="65"/>
        <v>1.5219999999999432</v>
      </c>
      <c r="R1559" s="206">
        <v>1.75</v>
      </c>
    </row>
    <row r="1560" spans="17:18">
      <c r="Q1560" s="374">
        <f t="shared" si="65"/>
        <v>1.5229999999999431</v>
      </c>
      <c r="R1560" s="206">
        <v>1.75</v>
      </c>
    </row>
    <row r="1561" spans="17:18">
      <c r="Q1561" s="374">
        <f t="shared" si="65"/>
        <v>1.523999999999943</v>
      </c>
      <c r="R1561" s="206">
        <v>1.75</v>
      </c>
    </row>
    <row r="1562" spans="17:18">
      <c r="Q1562" s="374">
        <f t="shared" si="65"/>
        <v>1.5249999999999428</v>
      </c>
      <c r="R1562" s="206">
        <v>1.75</v>
      </c>
    </row>
    <row r="1563" spans="17:18">
      <c r="Q1563" s="374">
        <f t="shared" si="65"/>
        <v>1.5259999999999427</v>
      </c>
      <c r="R1563" s="206">
        <v>1.75</v>
      </c>
    </row>
    <row r="1564" spans="17:18">
      <c r="Q1564" s="374">
        <f t="shared" si="65"/>
        <v>1.5269999999999426</v>
      </c>
      <c r="R1564" s="206">
        <v>1.75</v>
      </c>
    </row>
    <row r="1565" spans="17:18">
      <c r="Q1565" s="374">
        <f t="shared" si="65"/>
        <v>1.5279999999999425</v>
      </c>
      <c r="R1565" s="206">
        <v>1.75</v>
      </c>
    </row>
    <row r="1566" spans="17:18">
      <c r="Q1566" s="374">
        <f t="shared" si="65"/>
        <v>1.5289999999999424</v>
      </c>
      <c r="R1566" s="206">
        <v>1.75</v>
      </c>
    </row>
    <row r="1567" spans="17:18">
      <c r="Q1567" s="374">
        <f t="shared" si="65"/>
        <v>1.5299999999999423</v>
      </c>
      <c r="R1567" s="206">
        <v>1.75</v>
      </c>
    </row>
    <row r="1568" spans="17:18">
      <c r="Q1568" s="374">
        <f t="shared" si="65"/>
        <v>1.5309999999999422</v>
      </c>
      <c r="R1568" s="206">
        <v>1.75</v>
      </c>
    </row>
    <row r="1569" spans="17:18">
      <c r="Q1569" s="374">
        <f t="shared" si="65"/>
        <v>1.5319999999999421</v>
      </c>
      <c r="R1569" s="206">
        <v>1.75</v>
      </c>
    </row>
    <row r="1570" spans="17:18">
      <c r="Q1570" s="374">
        <f t="shared" si="65"/>
        <v>1.532999999999942</v>
      </c>
      <c r="R1570" s="206">
        <v>1.75</v>
      </c>
    </row>
    <row r="1571" spans="17:18">
      <c r="Q1571" s="374">
        <f t="shared" si="65"/>
        <v>1.5339999999999419</v>
      </c>
      <c r="R1571" s="206">
        <v>1.75</v>
      </c>
    </row>
    <row r="1572" spans="17:18">
      <c r="Q1572" s="374">
        <f t="shared" si="65"/>
        <v>1.5349999999999417</v>
      </c>
      <c r="R1572" s="206">
        <v>1.75</v>
      </c>
    </row>
    <row r="1573" spans="17:18">
      <c r="Q1573" s="374">
        <f t="shared" si="65"/>
        <v>1.5359999999999416</v>
      </c>
      <c r="R1573" s="206">
        <v>1.75</v>
      </c>
    </row>
    <row r="1574" spans="17:18">
      <c r="Q1574" s="374">
        <f t="shared" si="65"/>
        <v>1.5369999999999415</v>
      </c>
      <c r="R1574" s="206">
        <v>1.75</v>
      </c>
    </row>
    <row r="1575" spans="17:18">
      <c r="Q1575" s="374">
        <f t="shared" ref="Q1575:Q1638" si="66">Q1574+0.001</f>
        <v>1.5379999999999414</v>
      </c>
      <c r="R1575" s="206">
        <v>1.75</v>
      </c>
    </row>
    <row r="1576" spans="17:18">
      <c r="Q1576" s="374">
        <f t="shared" si="66"/>
        <v>1.5389999999999413</v>
      </c>
      <c r="R1576" s="206">
        <v>1.75</v>
      </c>
    </row>
    <row r="1577" spans="17:18">
      <c r="Q1577" s="374">
        <f t="shared" si="66"/>
        <v>1.5399999999999412</v>
      </c>
      <c r="R1577" s="206">
        <v>1.75</v>
      </c>
    </row>
    <row r="1578" spans="17:18">
      <c r="Q1578" s="374">
        <f t="shared" si="66"/>
        <v>1.5409999999999411</v>
      </c>
      <c r="R1578" s="206">
        <v>1.75</v>
      </c>
    </row>
    <row r="1579" spans="17:18">
      <c r="Q1579" s="374">
        <f t="shared" si="66"/>
        <v>1.541999999999941</v>
      </c>
      <c r="R1579" s="206">
        <v>1.75</v>
      </c>
    </row>
    <row r="1580" spans="17:18">
      <c r="Q1580" s="374">
        <f t="shared" si="66"/>
        <v>1.5429999999999409</v>
      </c>
      <c r="R1580" s="206">
        <v>1.75</v>
      </c>
    </row>
    <row r="1581" spans="17:18">
      <c r="Q1581" s="374">
        <f t="shared" si="66"/>
        <v>1.5439999999999408</v>
      </c>
      <c r="R1581" s="206">
        <v>1.75</v>
      </c>
    </row>
    <row r="1582" spans="17:18">
      <c r="Q1582" s="374">
        <f t="shared" si="66"/>
        <v>1.5449999999999406</v>
      </c>
      <c r="R1582" s="206">
        <v>1.75</v>
      </c>
    </row>
    <row r="1583" spans="17:18">
      <c r="Q1583" s="374">
        <f t="shared" si="66"/>
        <v>1.5459999999999405</v>
      </c>
      <c r="R1583" s="206">
        <v>1.75</v>
      </c>
    </row>
    <row r="1584" spans="17:18">
      <c r="Q1584" s="374">
        <f t="shared" si="66"/>
        <v>1.5469999999999404</v>
      </c>
      <c r="R1584" s="206">
        <v>1.75</v>
      </c>
    </row>
    <row r="1585" spans="17:18">
      <c r="Q1585" s="374">
        <f t="shared" si="66"/>
        <v>1.5479999999999403</v>
      </c>
      <c r="R1585" s="206">
        <v>1.75</v>
      </c>
    </row>
    <row r="1586" spans="17:18">
      <c r="Q1586" s="374">
        <f t="shared" si="66"/>
        <v>1.5489999999999402</v>
      </c>
      <c r="R1586" s="206">
        <v>1.75</v>
      </c>
    </row>
    <row r="1587" spans="17:18">
      <c r="Q1587" s="374">
        <f t="shared" si="66"/>
        <v>1.5499999999999401</v>
      </c>
      <c r="R1587" s="206">
        <v>1.75</v>
      </c>
    </row>
    <row r="1588" spans="17:18">
      <c r="Q1588" s="374">
        <f t="shared" si="66"/>
        <v>1.55099999999994</v>
      </c>
      <c r="R1588" s="206">
        <v>1.75</v>
      </c>
    </row>
    <row r="1589" spans="17:18">
      <c r="Q1589" s="374">
        <f t="shared" si="66"/>
        <v>1.5519999999999399</v>
      </c>
      <c r="R1589" s="206">
        <v>1.75</v>
      </c>
    </row>
    <row r="1590" spans="17:18">
      <c r="Q1590" s="374">
        <f t="shared" si="66"/>
        <v>1.5529999999999398</v>
      </c>
      <c r="R1590" s="206">
        <v>1.75</v>
      </c>
    </row>
    <row r="1591" spans="17:18">
      <c r="Q1591" s="374">
        <f t="shared" si="66"/>
        <v>1.5539999999999397</v>
      </c>
      <c r="R1591" s="206">
        <v>1.75</v>
      </c>
    </row>
    <row r="1592" spans="17:18">
      <c r="Q1592" s="374">
        <f t="shared" si="66"/>
        <v>1.5549999999999395</v>
      </c>
      <c r="R1592" s="206">
        <v>1.75</v>
      </c>
    </row>
    <row r="1593" spans="17:18">
      <c r="Q1593" s="374">
        <f t="shared" si="66"/>
        <v>1.5559999999999394</v>
      </c>
      <c r="R1593" s="206">
        <v>1.75</v>
      </c>
    </row>
    <row r="1594" spans="17:18">
      <c r="Q1594" s="374">
        <f t="shared" si="66"/>
        <v>1.5569999999999393</v>
      </c>
      <c r="R1594" s="206">
        <v>1.75</v>
      </c>
    </row>
    <row r="1595" spans="17:18">
      <c r="Q1595" s="374">
        <f t="shared" si="66"/>
        <v>1.5579999999999392</v>
      </c>
      <c r="R1595" s="206">
        <v>1.75</v>
      </c>
    </row>
    <row r="1596" spans="17:18">
      <c r="Q1596" s="374">
        <f t="shared" si="66"/>
        <v>1.5589999999999391</v>
      </c>
      <c r="R1596" s="206">
        <v>1.75</v>
      </c>
    </row>
    <row r="1597" spans="17:18">
      <c r="Q1597" s="374">
        <f t="shared" si="66"/>
        <v>1.559999999999939</v>
      </c>
      <c r="R1597" s="206">
        <v>1.75</v>
      </c>
    </row>
    <row r="1598" spans="17:18">
      <c r="Q1598" s="374">
        <f t="shared" si="66"/>
        <v>1.5609999999999389</v>
      </c>
      <c r="R1598" s="206">
        <v>1.75</v>
      </c>
    </row>
    <row r="1599" spans="17:18">
      <c r="Q1599" s="374">
        <f t="shared" si="66"/>
        <v>1.5619999999999388</v>
      </c>
      <c r="R1599" s="206">
        <v>1.75</v>
      </c>
    </row>
    <row r="1600" spans="17:18">
      <c r="Q1600" s="374">
        <f t="shared" si="66"/>
        <v>1.5629999999999387</v>
      </c>
      <c r="R1600" s="206">
        <v>1.75</v>
      </c>
    </row>
    <row r="1601" spans="17:18">
      <c r="Q1601" s="374">
        <f t="shared" si="66"/>
        <v>1.5639999999999386</v>
      </c>
      <c r="R1601" s="206">
        <v>1.75</v>
      </c>
    </row>
    <row r="1602" spans="17:18">
      <c r="Q1602" s="374">
        <f t="shared" si="66"/>
        <v>1.5649999999999384</v>
      </c>
      <c r="R1602" s="206">
        <v>1.75</v>
      </c>
    </row>
    <row r="1603" spans="17:18">
      <c r="Q1603" s="374">
        <f t="shared" si="66"/>
        <v>1.5659999999999383</v>
      </c>
      <c r="R1603" s="206">
        <v>1.75</v>
      </c>
    </row>
    <row r="1604" spans="17:18">
      <c r="Q1604" s="374">
        <f t="shared" si="66"/>
        <v>1.5669999999999382</v>
      </c>
      <c r="R1604" s="206">
        <v>1.75</v>
      </c>
    </row>
    <row r="1605" spans="17:18">
      <c r="Q1605" s="374">
        <f t="shared" si="66"/>
        <v>1.5679999999999381</v>
      </c>
      <c r="R1605" s="206">
        <v>1.75</v>
      </c>
    </row>
    <row r="1606" spans="17:18">
      <c r="Q1606" s="374">
        <f t="shared" si="66"/>
        <v>1.568999999999938</v>
      </c>
      <c r="R1606" s="206">
        <v>1.75</v>
      </c>
    </row>
    <row r="1607" spans="17:18">
      <c r="Q1607" s="374">
        <f t="shared" si="66"/>
        <v>1.5699999999999379</v>
      </c>
      <c r="R1607" s="206">
        <v>1.75</v>
      </c>
    </row>
    <row r="1608" spans="17:18">
      <c r="Q1608" s="374">
        <f t="shared" si="66"/>
        <v>1.5709999999999378</v>
      </c>
      <c r="R1608" s="206">
        <v>1.75</v>
      </c>
    </row>
    <row r="1609" spans="17:18">
      <c r="Q1609" s="374">
        <f t="shared" si="66"/>
        <v>1.5719999999999377</v>
      </c>
      <c r="R1609" s="206">
        <v>1.75</v>
      </c>
    </row>
    <row r="1610" spans="17:18">
      <c r="Q1610" s="374">
        <f t="shared" si="66"/>
        <v>1.5729999999999376</v>
      </c>
      <c r="R1610" s="206">
        <v>1.75</v>
      </c>
    </row>
    <row r="1611" spans="17:18">
      <c r="Q1611" s="374">
        <f t="shared" si="66"/>
        <v>1.5739999999999374</v>
      </c>
      <c r="R1611" s="206">
        <v>1.75</v>
      </c>
    </row>
    <row r="1612" spans="17:18">
      <c r="Q1612" s="374">
        <f t="shared" si="66"/>
        <v>1.5749999999999373</v>
      </c>
      <c r="R1612" s="206">
        <v>1.75</v>
      </c>
    </row>
    <row r="1613" spans="17:18">
      <c r="Q1613" s="374">
        <f t="shared" si="66"/>
        <v>1.5759999999999372</v>
      </c>
      <c r="R1613" s="206">
        <v>1.75</v>
      </c>
    </row>
    <row r="1614" spans="17:18">
      <c r="Q1614" s="374">
        <f t="shared" si="66"/>
        <v>1.5769999999999371</v>
      </c>
      <c r="R1614" s="206">
        <v>1.75</v>
      </c>
    </row>
    <row r="1615" spans="17:18">
      <c r="Q1615" s="374">
        <f t="shared" si="66"/>
        <v>1.577999999999937</v>
      </c>
      <c r="R1615" s="206">
        <v>1.75</v>
      </c>
    </row>
    <row r="1616" spans="17:18">
      <c r="Q1616" s="374">
        <f t="shared" si="66"/>
        <v>1.5789999999999369</v>
      </c>
      <c r="R1616" s="206">
        <v>1.75</v>
      </c>
    </row>
    <row r="1617" spans="17:18">
      <c r="Q1617" s="374">
        <f t="shared" si="66"/>
        <v>1.5799999999999368</v>
      </c>
      <c r="R1617" s="206">
        <v>1.75</v>
      </c>
    </row>
    <row r="1618" spans="17:18">
      <c r="Q1618" s="374">
        <f t="shared" si="66"/>
        <v>1.5809999999999367</v>
      </c>
      <c r="R1618" s="206">
        <v>1.75</v>
      </c>
    </row>
    <row r="1619" spans="17:18">
      <c r="Q1619" s="374">
        <f t="shared" si="66"/>
        <v>1.5819999999999366</v>
      </c>
      <c r="R1619" s="206">
        <v>1.75</v>
      </c>
    </row>
    <row r="1620" spans="17:18">
      <c r="Q1620" s="374">
        <f t="shared" si="66"/>
        <v>1.5829999999999365</v>
      </c>
      <c r="R1620" s="206">
        <v>1.75</v>
      </c>
    </row>
    <row r="1621" spans="17:18">
      <c r="Q1621" s="374">
        <f t="shared" si="66"/>
        <v>1.5839999999999363</v>
      </c>
      <c r="R1621" s="206">
        <v>1.75</v>
      </c>
    </row>
    <row r="1622" spans="17:18">
      <c r="Q1622" s="374">
        <f t="shared" si="66"/>
        <v>1.5849999999999362</v>
      </c>
      <c r="R1622" s="206">
        <v>1.75</v>
      </c>
    </row>
    <row r="1623" spans="17:18">
      <c r="Q1623" s="374">
        <f t="shared" si="66"/>
        <v>1.5859999999999361</v>
      </c>
      <c r="R1623" s="206">
        <v>1.75</v>
      </c>
    </row>
    <row r="1624" spans="17:18">
      <c r="Q1624" s="374">
        <f t="shared" si="66"/>
        <v>1.586999999999936</v>
      </c>
      <c r="R1624" s="206">
        <v>1.75</v>
      </c>
    </row>
    <row r="1625" spans="17:18">
      <c r="Q1625" s="374">
        <f t="shared" si="66"/>
        <v>1.5879999999999359</v>
      </c>
      <c r="R1625" s="206">
        <v>1.75</v>
      </c>
    </row>
    <row r="1626" spans="17:18">
      <c r="Q1626" s="374">
        <f t="shared" si="66"/>
        <v>1.5889999999999358</v>
      </c>
      <c r="R1626" s="206">
        <v>1.75</v>
      </c>
    </row>
    <row r="1627" spans="17:18">
      <c r="Q1627" s="374">
        <f t="shared" si="66"/>
        <v>1.5899999999999357</v>
      </c>
      <c r="R1627" s="206">
        <v>1.75</v>
      </c>
    </row>
    <row r="1628" spans="17:18">
      <c r="Q1628" s="374">
        <f t="shared" si="66"/>
        <v>1.5909999999999356</v>
      </c>
      <c r="R1628" s="206">
        <v>1.75</v>
      </c>
    </row>
    <row r="1629" spans="17:18">
      <c r="Q1629" s="374">
        <f t="shared" si="66"/>
        <v>1.5919999999999355</v>
      </c>
      <c r="R1629" s="206">
        <v>1.75</v>
      </c>
    </row>
    <row r="1630" spans="17:18">
      <c r="Q1630" s="374">
        <f t="shared" si="66"/>
        <v>1.5929999999999354</v>
      </c>
      <c r="R1630" s="206">
        <v>1.75</v>
      </c>
    </row>
    <row r="1631" spans="17:18">
      <c r="Q1631" s="374">
        <f t="shared" si="66"/>
        <v>1.5939999999999352</v>
      </c>
      <c r="R1631" s="206">
        <v>1.75</v>
      </c>
    </row>
    <row r="1632" spans="17:18">
      <c r="Q1632" s="374">
        <f t="shared" si="66"/>
        <v>1.5949999999999351</v>
      </c>
      <c r="R1632" s="206">
        <v>1.75</v>
      </c>
    </row>
    <row r="1633" spans="17:18">
      <c r="Q1633" s="374">
        <f t="shared" si="66"/>
        <v>1.595999999999935</v>
      </c>
      <c r="R1633" s="206">
        <v>1.75</v>
      </c>
    </row>
    <row r="1634" spans="17:18">
      <c r="Q1634" s="374">
        <f t="shared" si="66"/>
        <v>1.5969999999999349</v>
      </c>
      <c r="R1634" s="206">
        <v>1.75</v>
      </c>
    </row>
    <row r="1635" spans="17:18">
      <c r="Q1635" s="374">
        <f t="shared" si="66"/>
        <v>1.5979999999999348</v>
      </c>
      <c r="R1635" s="206">
        <v>1.75</v>
      </c>
    </row>
    <row r="1636" spans="17:18">
      <c r="Q1636" s="374">
        <f t="shared" si="66"/>
        <v>1.5989999999999347</v>
      </c>
      <c r="R1636" s="206">
        <v>1.75</v>
      </c>
    </row>
    <row r="1637" spans="17:18">
      <c r="Q1637" s="374">
        <f t="shared" si="66"/>
        <v>1.5999999999999346</v>
      </c>
      <c r="R1637" s="206">
        <v>1.75</v>
      </c>
    </row>
    <row r="1638" spans="17:18">
      <c r="Q1638" s="374">
        <f t="shared" si="66"/>
        <v>1.6009999999999345</v>
      </c>
      <c r="R1638" s="206">
        <v>1.75</v>
      </c>
    </row>
    <row r="1639" spans="17:18">
      <c r="Q1639" s="374">
        <f t="shared" ref="Q1639:Q1702" si="67">Q1638+0.001</f>
        <v>1.6019999999999344</v>
      </c>
      <c r="R1639" s="206">
        <v>1.75</v>
      </c>
    </row>
    <row r="1640" spans="17:18">
      <c r="Q1640" s="374">
        <f t="shared" si="67"/>
        <v>1.6029999999999343</v>
      </c>
      <c r="R1640" s="206">
        <v>1.75</v>
      </c>
    </row>
    <row r="1641" spans="17:18">
      <c r="Q1641" s="374">
        <f t="shared" si="67"/>
        <v>1.6039999999999341</v>
      </c>
      <c r="R1641" s="206">
        <v>1.75</v>
      </c>
    </row>
    <row r="1642" spans="17:18">
      <c r="Q1642" s="374">
        <f t="shared" si="67"/>
        <v>1.604999999999934</v>
      </c>
      <c r="R1642" s="206">
        <v>1.75</v>
      </c>
    </row>
    <row r="1643" spans="17:18">
      <c r="Q1643" s="374">
        <f t="shared" si="67"/>
        <v>1.6059999999999339</v>
      </c>
      <c r="R1643" s="206">
        <v>1.75</v>
      </c>
    </row>
    <row r="1644" spans="17:18">
      <c r="Q1644" s="374">
        <f t="shared" si="67"/>
        <v>1.6069999999999338</v>
      </c>
      <c r="R1644" s="206">
        <v>1.75</v>
      </c>
    </row>
    <row r="1645" spans="17:18">
      <c r="Q1645" s="374">
        <f t="shared" si="67"/>
        <v>1.6079999999999337</v>
      </c>
      <c r="R1645" s="206">
        <v>1.75</v>
      </c>
    </row>
    <row r="1646" spans="17:18">
      <c r="Q1646" s="374">
        <f t="shared" si="67"/>
        <v>1.6089999999999336</v>
      </c>
      <c r="R1646" s="206">
        <v>1.75</v>
      </c>
    </row>
    <row r="1647" spans="17:18">
      <c r="Q1647" s="374">
        <f t="shared" si="67"/>
        <v>1.6099999999999335</v>
      </c>
      <c r="R1647" s="206">
        <v>1.75</v>
      </c>
    </row>
    <row r="1648" spans="17:18">
      <c r="Q1648" s="374">
        <f t="shared" si="67"/>
        <v>1.6109999999999334</v>
      </c>
      <c r="R1648" s="206">
        <v>1.75</v>
      </c>
    </row>
    <row r="1649" spans="17:18">
      <c r="Q1649" s="374">
        <f t="shared" si="67"/>
        <v>1.6119999999999333</v>
      </c>
      <c r="R1649" s="206">
        <v>1.75</v>
      </c>
    </row>
    <row r="1650" spans="17:18">
      <c r="Q1650" s="374">
        <f t="shared" si="67"/>
        <v>1.6129999999999332</v>
      </c>
      <c r="R1650" s="206">
        <v>1.75</v>
      </c>
    </row>
    <row r="1651" spans="17:18">
      <c r="Q1651" s="374">
        <f t="shared" si="67"/>
        <v>1.613999999999933</v>
      </c>
      <c r="R1651" s="206">
        <v>1.75</v>
      </c>
    </row>
    <row r="1652" spans="17:18">
      <c r="Q1652" s="374">
        <f t="shared" si="67"/>
        <v>1.6149999999999329</v>
      </c>
      <c r="R1652" s="206">
        <v>1.75</v>
      </c>
    </row>
    <row r="1653" spans="17:18">
      <c r="Q1653" s="374">
        <f t="shared" si="67"/>
        <v>1.6159999999999328</v>
      </c>
      <c r="R1653" s="206">
        <v>1.75</v>
      </c>
    </row>
    <row r="1654" spans="17:18">
      <c r="Q1654" s="374">
        <f t="shared" si="67"/>
        <v>1.6169999999999327</v>
      </c>
      <c r="R1654" s="206">
        <v>1.75</v>
      </c>
    </row>
    <row r="1655" spans="17:18">
      <c r="Q1655" s="374">
        <f t="shared" si="67"/>
        <v>1.6179999999999326</v>
      </c>
      <c r="R1655" s="206">
        <v>1.75</v>
      </c>
    </row>
    <row r="1656" spans="17:18">
      <c r="Q1656" s="374">
        <f t="shared" si="67"/>
        <v>1.6189999999999325</v>
      </c>
      <c r="R1656" s="206">
        <v>1.75</v>
      </c>
    </row>
    <row r="1657" spans="17:18">
      <c r="Q1657" s="374">
        <f t="shared" si="67"/>
        <v>1.6199999999999324</v>
      </c>
      <c r="R1657" s="206">
        <v>1.75</v>
      </c>
    </row>
    <row r="1658" spans="17:18">
      <c r="Q1658" s="374">
        <f t="shared" si="67"/>
        <v>1.6209999999999323</v>
      </c>
      <c r="R1658" s="206">
        <v>1.75</v>
      </c>
    </row>
    <row r="1659" spans="17:18">
      <c r="Q1659" s="374">
        <f t="shared" si="67"/>
        <v>1.6219999999999322</v>
      </c>
      <c r="R1659" s="206">
        <v>1.75</v>
      </c>
    </row>
    <row r="1660" spans="17:18">
      <c r="Q1660" s="374">
        <f t="shared" si="67"/>
        <v>1.6229999999999321</v>
      </c>
      <c r="R1660" s="206">
        <v>1.75</v>
      </c>
    </row>
    <row r="1661" spans="17:18">
      <c r="Q1661" s="374">
        <f t="shared" si="67"/>
        <v>1.6239999999999319</v>
      </c>
      <c r="R1661" s="206">
        <v>1.75</v>
      </c>
    </row>
    <row r="1662" spans="17:18">
      <c r="Q1662" s="374">
        <f t="shared" si="67"/>
        <v>1.6249999999999318</v>
      </c>
      <c r="R1662" s="206">
        <v>1.75</v>
      </c>
    </row>
    <row r="1663" spans="17:18">
      <c r="Q1663" s="374">
        <f t="shared" si="67"/>
        <v>1.6259999999999317</v>
      </c>
      <c r="R1663" s="206">
        <v>1.75</v>
      </c>
    </row>
    <row r="1664" spans="17:18">
      <c r="Q1664" s="374">
        <f t="shared" si="67"/>
        <v>1.6269999999999316</v>
      </c>
      <c r="R1664" s="206">
        <v>1.75</v>
      </c>
    </row>
    <row r="1665" spans="17:18">
      <c r="Q1665" s="374">
        <f t="shared" si="67"/>
        <v>1.6279999999999315</v>
      </c>
      <c r="R1665" s="206">
        <v>1.75</v>
      </c>
    </row>
    <row r="1666" spans="17:18">
      <c r="Q1666" s="374">
        <f t="shared" si="67"/>
        <v>1.6289999999999314</v>
      </c>
      <c r="R1666" s="206">
        <v>1.75</v>
      </c>
    </row>
    <row r="1667" spans="17:18">
      <c r="Q1667" s="374">
        <f t="shared" si="67"/>
        <v>1.6299999999999313</v>
      </c>
      <c r="R1667" s="206">
        <v>1.75</v>
      </c>
    </row>
    <row r="1668" spans="17:18">
      <c r="Q1668" s="374">
        <f t="shared" si="67"/>
        <v>1.6309999999999312</v>
      </c>
      <c r="R1668" s="206">
        <v>1.75</v>
      </c>
    </row>
    <row r="1669" spans="17:18">
      <c r="Q1669" s="374">
        <f t="shared" si="67"/>
        <v>1.6319999999999311</v>
      </c>
      <c r="R1669" s="206">
        <v>1.75</v>
      </c>
    </row>
    <row r="1670" spans="17:18">
      <c r="Q1670" s="374">
        <f t="shared" si="67"/>
        <v>1.632999999999931</v>
      </c>
      <c r="R1670" s="206">
        <v>1.75</v>
      </c>
    </row>
    <row r="1671" spans="17:18">
      <c r="Q1671" s="374">
        <f t="shared" si="67"/>
        <v>1.6339999999999308</v>
      </c>
      <c r="R1671" s="206">
        <v>1.75</v>
      </c>
    </row>
    <row r="1672" spans="17:18">
      <c r="Q1672" s="374">
        <f t="shared" si="67"/>
        <v>1.6349999999999307</v>
      </c>
      <c r="R1672" s="206">
        <v>1.75</v>
      </c>
    </row>
    <row r="1673" spans="17:18">
      <c r="Q1673" s="374">
        <f t="shared" si="67"/>
        <v>1.6359999999999306</v>
      </c>
      <c r="R1673" s="206">
        <v>1.75</v>
      </c>
    </row>
    <row r="1674" spans="17:18">
      <c r="Q1674" s="374">
        <f t="shared" si="67"/>
        <v>1.6369999999999305</v>
      </c>
      <c r="R1674" s="206">
        <v>1.75</v>
      </c>
    </row>
    <row r="1675" spans="17:18">
      <c r="Q1675" s="374">
        <f t="shared" si="67"/>
        <v>1.6379999999999304</v>
      </c>
      <c r="R1675" s="206">
        <v>1.75</v>
      </c>
    </row>
    <row r="1676" spans="17:18">
      <c r="Q1676" s="374">
        <f t="shared" si="67"/>
        <v>1.6389999999999303</v>
      </c>
      <c r="R1676" s="206">
        <v>1.75</v>
      </c>
    </row>
    <row r="1677" spans="17:18">
      <c r="Q1677" s="374">
        <f t="shared" si="67"/>
        <v>1.6399999999999302</v>
      </c>
      <c r="R1677" s="206">
        <v>1.75</v>
      </c>
    </row>
    <row r="1678" spans="17:18">
      <c r="Q1678" s="374">
        <f t="shared" si="67"/>
        <v>1.6409999999999301</v>
      </c>
      <c r="R1678" s="206">
        <v>1.75</v>
      </c>
    </row>
    <row r="1679" spans="17:18">
      <c r="Q1679" s="374">
        <f t="shared" si="67"/>
        <v>1.64199999999993</v>
      </c>
      <c r="R1679" s="206">
        <v>1.75</v>
      </c>
    </row>
    <row r="1680" spans="17:18">
      <c r="Q1680" s="374">
        <f t="shared" si="67"/>
        <v>1.6429999999999298</v>
      </c>
      <c r="R1680" s="206">
        <v>1.75</v>
      </c>
    </row>
    <row r="1681" spans="17:18">
      <c r="Q1681" s="374">
        <f t="shared" si="67"/>
        <v>1.6439999999999297</v>
      </c>
      <c r="R1681" s="206">
        <v>1.75</v>
      </c>
    </row>
    <row r="1682" spans="17:18">
      <c r="Q1682" s="374">
        <f t="shared" si="67"/>
        <v>1.6449999999999296</v>
      </c>
      <c r="R1682" s="206">
        <v>1.75</v>
      </c>
    </row>
    <row r="1683" spans="17:18">
      <c r="Q1683" s="374">
        <f t="shared" si="67"/>
        <v>1.6459999999999295</v>
      </c>
      <c r="R1683" s="206">
        <v>1.75</v>
      </c>
    </row>
    <row r="1684" spans="17:18">
      <c r="Q1684" s="374">
        <f t="shared" si="67"/>
        <v>1.6469999999999294</v>
      </c>
      <c r="R1684" s="206">
        <v>1.75</v>
      </c>
    </row>
    <row r="1685" spans="17:18">
      <c r="Q1685" s="374">
        <f t="shared" si="67"/>
        <v>1.6479999999999293</v>
      </c>
      <c r="R1685" s="206">
        <v>1.75</v>
      </c>
    </row>
    <row r="1686" spans="17:18">
      <c r="Q1686" s="374">
        <f t="shared" si="67"/>
        <v>1.6489999999999292</v>
      </c>
      <c r="R1686" s="206">
        <v>1.75</v>
      </c>
    </row>
    <row r="1687" spans="17:18">
      <c r="Q1687" s="374">
        <f t="shared" si="67"/>
        <v>1.6499999999999291</v>
      </c>
      <c r="R1687" s="206">
        <v>1.75</v>
      </c>
    </row>
    <row r="1688" spans="17:18">
      <c r="Q1688" s="374">
        <f t="shared" si="67"/>
        <v>1.650999999999929</v>
      </c>
      <c r="R1688" s="206">
        <v>1.75</v>
      </c>
    </row>
    <row r="1689" spans="17:18">
      <c r="Q1689" s="374">
        <f t="shared" si="67"/>
        <v>1.6519999999999289</v>
      </c>
      <c r="R1689" s="206">
        <v>1.75</v>
      </c>
    </row>
    <row r="1690" spans="17:18">
      <c r="Q1690" s="374">
        <f t="shared" si="67"/>
        <v>1.6529999999999287</v>
      </c>
      <c r="R1690" s="206">
        <v>1.75</v>
      </c>
    </row>
    <row r="1691" spans="17:18">
      <c r="Q1691" s="374">
        <f t="shared" si="67"/>
        <v>1.6539999999999286</v>
      </c>
      <c r="R1691" s="206">
        <v>1.75</v>
      </c>
    </row>
    <row r="1692" spans="17:18">
      <c r="Q1692" s="374">
        <f t="shared" si="67"/>
        <v>1.6549999999999285</v>
      </c>
      <c r="R1692" s="206">
        <v>1.75</v>
      </c>
    </row>
    <row r="1693" spans="17:18">
      <c r="Q1693" s="374">
        <f t="shared" si="67"/>
        <v>1.6559999999999284</v>
      </c>
      <c r="R1693" s="206">
        <v>1.75</v>
      </c>
    </row>
    <row r="1694" spans="17:18">
      <c r="Q1694" s="374">
        <f t="shared" si="67"/>
        <v>1.6569999999999283</v>
      </c>
      <c r="R1694" s="206">
        <v>1.75</v>
      </c>
    </row>
    <row r="1695" spans="17:18">
      <c r="Q1695" s="374">
        <f t="shared" si="67"/>
        <v>1.6579999999999282</v>
      </c>
      <c r="R1695" s="206">
        <v>1.75</v>
      </c>
    </row>
    <row r="1696" spans="17:18">
      <c r="Q1696" s="374">
        <f t="shared" si="67"/>
        <v>1.6589999999999281</v>
      </c>
      <c r="R1696" s="206">
        <v>1.75</v>
      </c>
    </row>
    <row r="1697" spans="17:18">
      <c r="Q1697" s="374">
        <f t="shared" si="67"/>
        <v>1.659999999999928</v>
      </c>
      <c r="R1697" s="206">
        <v>1.75</v>
      </c>
    </row>
    <row r="1698" spans="17:18">
      <c r="Q1698" s="374">
        <f t="shared" si="67"/>
        <v>1.6609999999999279</v>
      </c>
      <c r="R1698" s="206">
        <v>1.75</v>
      </c>
    </row>
    <row r="1699" spans="17:18">
      <c r="Q1699" s="374">
        <f t="shared" si="67"/>
        <v>1.6619999999999278</v>
      </c>
      <c r="R1699" s="206">
        <v>1.75</v>
      </c>
    </row>
    <row r="1700" spans="17:18">
      <c r="Q1700" s="374">
        <f t="shared" si="67"/>
        <v>1.6629999999999276</v>
      </c>
      <c r="R1700" s="206">
        <v>1.75</v>
      </c>
    </row>
    <row r="1701" spans="17:18">
      <c r="Q1701" s="374">
        <f t="shared" si="67"/>
        <v>1.6639999999999275</v>
      </c>
      <c r="R1701" s="206">
        <v>1.75</v>
      </c>
    </row>
    <row r="1702" spans="17:18">
      <c r="Q1702" s="374">
        <f t="shared" si="67"/>
        <v>1.6649999999999274</v>
      </c>
      <c r="R1702" s="206">
        <v>1.75</v>
      </c>
    </row>
    <row r="1703" spans="17:18">
      <c r="Q1703" s="374">
        <f t="shared" ref="Q1703:Q1766" si="68">Q1702+0.001</f>
        <v>1.6659999999999273</v>
      </c>
      <c r="R1703" s="206">
        <v>1.75</v>
      </c>
    </row>
    <row r="1704" spans="17:18">
      <c r="Q1704" s="374">
        <f t="shared" si="68"/>
        <v>1.6669999999999272</v>
      </c>
      <c r="R1704" s="206">
        <v>1.75</v>
      </c>
    </row>
    <row r="1705" spans="17:18">
      <c r="Q1705" s="374">
        <f t="shared" si="68"/>
        <v>1.6679999999999271</v>
      </c>
      <c r="R1705" s="206">
        <v>1.75</v>
      </c>
    </row>
    <row r="1706" spans="17:18">
      <c r="Q1706" s="374">
        <f t="shared" si="68"/>
        <v>1.668999999999927</v>
      </c>
      <c r="R1706" s="206">
        <v>1.75</v>
      </c>
    </row>
    <row r="1707" spans="17:18">
      <c r="Q1707" s="374">
        <f t="shared" si="68"/>
        <v>1.6699999999999269</v>
      </c>
      <c r="R1707" s="206">
        <v>1.75</v>
      </c>
    </row>
    <row r="1708" spans="17:18">
      <c r="Q1708" s="374">
        <f t="shared" si="68"/>
        <v>1.6709999999999268</v>
      </c>
      <c r="R1708" s="206">
        <v>1.75</v>
      </c>
    </row>
    <row r="1709" spans="17:18">
      <c r="Q1709" s="374">
        <f t="shared" si="68"/>
        <v>1.6719999999999267</v>
      </c>
      <c r="R1709" s="206">
        <v>1.75</v>
      </c>
    </row>
    <row r="1710" spans="17:18">
      <c r="Q1710" s="374">
        <f t="shared" si="68"/>
        <v>1.6729999999999265</v>
      </c>
      <c r="R1710" s="206">
        <v>1.75</v>
      </c>
    </row>
    <row r="1711" spans="17:18">
      <c r="Q1711" s="374">
        <f t="shared" si="68"/>
        <v>1.6739999999999264</v>
      </c>
      <c r="R1711" s="206">
        <v>1.75</v>
      </c>
    </row>
    <row r="1712" spans="17:18">
      <c r="Q1712" s="374">
        <f t="shared" si="68"/>
        <v>1.6749999999999263</v>
      </c>
      <c r="R1712" s="206">
        <v>1.75</v>
      </c>
    </row>
    <row r="1713" spans="17:18">
      <c r="Q1713" s="374">
        <f t="shared" si="68"/>
        <v>1.6759999999999262</v>
      </c>
      <c r="R1713" s="206">
        <v>1.75</v>
      </c>
    </row>
    <row r="1714" spans="17:18">
      <c r="Q1714" s="374">
        <f t="shared" si="68"/>
        <v>1.6769999999999261</v>
      </c>
      <c r="R1714" s="206">
        <v>1.75</v>
      </c>
    </row>
    <row r="1715" spans="17:18">
      <c r="Q1715" s="374">
        <f t="shared" si="68"/>
        <v>1.677999999999926</v>
      </c>
      <c r="R1715" s="206">
        <v>1.75</v>
      </c>
    </row>
    <row r="1716" spans="17:18">
      <c r="Q1716" s="374">
        <f t="shared" si="68"/>
        <v>1.6789999999999259</v>
      </c>
      <c r="R1716" s="206">
        <v>1.75</v>
      </c>
    </row>
    <row r="1717" spans="17:18">
      <c r="Q1717" s="374">
        <f t="shared" si="68"/>
        <v>1.6799999999999258</v>
      </c>
      <c r="R1717" s="206">
        <v>1.75</v>
      </c>
    </row>
    <row r="1718" spans="17:18">
      <c r="Q1718" s="374">
        <f t="shared" si="68"/>
        <v>1.6809999999999257</v>
      </c>
      <c r="R1718" s="206">
        <v>1.75</v>
      </c>
    </row>
    <row r="1719" spans="17:18">
      <c r="Q1719" s="374">
        <f t="shared" si="68"/>
        <v>1.6819999999999256</v>
      </c>
      <c r="R1719" s="206">
        <v>1.75</v>
      </c>
    </row>
    <row r="1720" spans="17:18">
      <c r="Q1720" s="374">
        <f t="shared" si="68"/>
        <v>1.6829999999999254</v>
      </c>
      <c r="R1720" s="206">
        <v>1.75</v>
      </c>
    </row>
    <row r="1721" spans="17:18">
      <c r="Q1721" s="374">
        <f t="shared" si="68"/>
        <v>1.6839999999999253</v>
      </c>
      <c r="R1721" s="206">
        <v>1.75</v>
      </c>
    </row>
    <row r="1722" spans="17:18">
      <c r="Q1722" s="374">
        <f t="shared" si="68"/>
        <v>1.6849999999999252</v>
      </c>
      <c r="R1722" s="206">
        <v>1.75</v>
      </c>
    </row>
    <row r="1723" spans="17:18">
      <c r="Q1723" s="374">
        <f t="shared" si="68"/>
        <v>1.6859999999999251</v>
      </c>
      <c r="R1723" s="206">
        <v>1.75</v>
      </c>
    </row>
    <row r="1724" spans="17:18">
      <c r="Q1724" s="374">
        <f t="shared" si="68"/>
        <v>1.686999999999925</v>
      </c>
      <c r="R1724" s="206">
        <v>1.75</v>
      </c>
    </row>
    <row r="1725" spans="17:18">
      <c r="Q1725" s="374">
        <f t="shared" si="68"/>
        <v>1.6879999999999249</v>
      </c>
      <c r="R1725" s="206">
        <v>1.75</v>
      </c>
    </row>
    <row r="1726" spans="17:18">
      <c r="Q1726" s="374">
        <f t="shared" si="68"/>
        <v>1.6889999999999248</v>
      </c>
      <c r="R1726" s="206">
        <v>1.75</v>
      </c>
    </row>
    <row r="1727" spans="17:18">
      <c r="Q1727" s="374">
        <f t="shared" si="68"/>
        <v>1.6899999999999247</v>
      </c>
      <c r="R1727" s="206">
        <v>1.75</v>
      </c>
    </row>
    <row r="1728" spans="17:18">
      <c r="Q1728" s="374">
        <f t="shared" si="68"/>
        <v>1.6909999999999246</v>
      </c>
      <c r="R1728" s="206">
        <v>1.75</v>
      </c>
    </row>
    <row r="1729" spans="17:18">
      <c r="Q1729" s="374">
        <f t="shared" si="68"/>
        <v>1.6919999999999245</v>
      </c>
      <c r="R1729" s="206">
        <v>1.75</v>
      </c>
    </row>
    <row r="1730" spans="17:18">
      <c r="Q1730" s="374">
        <f t="shared" si="68"/>
        <v>1.6929999999999243</v>
      </c>
      <c r="R1730" s="206">
        <v>1.75</v>
      </c>
    </row>
    <row r="1731" spans="17:18">
      <c r="Q1731" s="374">
        <f t="shared" si="68"/>
        <v>1.6939999999999242</v>
      </c>
      <c r="R1731" s="206">
        <v>1.75</v>
      </c>
    </row>
    <row r="1732" spans="17:18">
      <c r="Q1732" s="374">
        <f t="shared" si="68"/>
        <v>1.6949999999999241</v>
      </c>
      <c r="R1732" s="206">
        <v>1.75</v>
      </c>
    </row>
    <row r="1733" spans="17:18">
      <c r="Q1733" s="374">
        <f t="shared" si="68"/>
        <v>1.695999999999924</v>
      </c>
      <c r="R1733" s="206">
        <v>1.75</v>
      </c>
    </row>
    <row r="1734" spans="17:18">
      <c r="Q1734" s="374">
        <f t="shared" si="68"/>
        <v>1.6969999999999239</v>
      </c>
      <c r="R1734" s="206">
        <v>1.75</v>
      </c>
    </row>
    <row r="1735" spans="17:18">
      <c r="Q1735" s="374">
        <f t="shared" si="68"/>
        <v>1.6979999999999238</v>
      </c>
      <c r="R1735" s="206">
        <v>1.75</v>
      </c>
    </row>
    <row r="1736" spans="17:18">
      <c r="Q1736" s="374">
        <f t="shared" si="68"/>
        <v>1.6989999999999237</v>
      </c>
      <c r="R1736" s="206">
        <v>1.75</v>
      </c>
    </row>
    <row r="1737" spans="17:18">
      <c r="Q1737" s="374">
        <f t="shared" si="68"/>
        <v>1.6999999999999236</v>
      </c>
      <c r="R1737" s="206">
        <v>1.75</v>
      </c>
    </row>
    <row r="1738" spans="17:18">
      <c r="Q1738" s="374">
        <f t="shared" si="68"/>
        <v>1.7009999999999235</v>
      </c>
      <c r="R1738" s="206">
        <v>1.75</v>
      </c>
    </row>
    <row r="1739" spans="17:18">
      <c r="Q1739" s="374">
        <f t="shared" si="68"/>
        <v>1.7019999999999234</v>
      </c>
      <c r="R1739" s="206">
        <v>1.75</v>
      </c>
    </row>
    <row r="1740" spans="17:18">
      <c r="Q1740" s="374">
        <f t="shared" si="68"/>
        <v>1.7029999999999232</v>
      </c>
      <c r="R1740" s="206">
        <v>1.75</v>
      </c>
    </row>
    <row r="1741" spans="17:18">
      <c r="Q1741" s="374">
        <f t="shared" si="68"/>
        <v>1.7039999999999231</v>
      </c>
      <c r="R1741" s="206">
        <v>1.75</v>
      </c>
    </row>
    <row r="1742" spans="17:18">
      <c r="Q1742" s="374">
        <f t="shared" si="68"/>
        <v>1.704999999999923</v>
      </c>
      <c r="R1742" s="206">
        <v>1.75</v>
      </c>
    </row>
    <row r="1743" spans="17:18">
      <c r="Q1743" s="374">
        <f t="shared" si="68"/>
        <v>1.7059999999999229</v>
      </c>
      <c r="R1743" s="206">
        <v>1.75</v>
      </c>
    </row>
    <row r="1744" spans="17:18">
      <c r="Q1744" s="374">
        <f t="shared" si="68"/>
        <v>1.7069999999999228</v>
      </c>
      <c r="R1744" s="206">
        <v>1.75</v>
      </c>
    </row>
    <row r="1745" spans="17:18">
      <c r="Q1745" s="374">
        <f t="shared" si="68"/>
        <v>1.7079999999999227</v>
      </c>
      <c r="R1745" s="206">
        <v>1.75</v>
      </c>
    </row>
    <row r="1746" spans="17:18">
      <c r="Q1746" s="374">
        <f t="shared" si="68"/>
        <v>1.7089999999999226</v>
      </c>
      <c r="R1746" s="206">
        <v>1.75</v>
      </c>
    </row>
    <row r="1747" spans="17:18">
      <c r="Q1747" s="374">
        <f t="shared" si="68"/>
        <v>1.7099999999999225</v>
      </c>
      <c r="R1747" s="206">
        <v>1.75</v>
      </c>
    </row>
    <row r="1748" spans="17:18">
      <c r="Q1748" s="374">
        <f t="shared" si="68"/>
        <v>1.7109999999999224</v>
      </c>
      <c r="R1748" s="206">
        <v>1.75</v>
      </c>
    </row>
    <row r="1749" spans="17:18">
      <c r="Q1749" s="374">
        <f t="shared" si="68"/>
        <v>1.7119999999999223</v>
      </c>
      <c r="R1749" s="206">
        <v>1.75</v>
      </c>
    </row>
    <row r="1750" spans="17:18">
      <c r="Q1750" s="374">
        <f t="shared" si="68"/>
        <v>1.7129999999999221</v>
      </c>
      <c r="R1750" s="206">
        <v>1.75</v>
      </c>
    </row>
    <row r="1751" spans="17:18">
      <c r="Q1751" s="374">
        <f t="shared" si="68"/>
        <v>1.713999999999922</v>
      </c>
      <c r="R1751" s="206">
        <v>1.75</v>
      </c>
    </row>
    <row r="1752" spans="17:18">
      <c r="Q1752" s="374">
        <f t="shared" si="68"/>
        <v>1.7149999999999219</v>
      </c>
      <c r="R1752" s="206">
        <v>1.75</v>
      </c>
    </row>
    <row r="1753" spans="17:18">
      <c r="Q1753" s="374">
        <f t="shared" si="68"/>
        <v>1.7159999999999218</v>
      </c>
      <c r="R1753" s="206">
        <v>1.75</v>
      </c>
    </row>
    <row r="1754" spans="17:18">
      <c r="Q1754" s="374">
        <f t="shared" si="68"/>
        <v>1.7169999999999217</v>
      </c>
      <c r="R1754" s="206">
        <v>1.75</v>
      </c>
    </row>
    <row r="1755" spans="17:18">
      <c r="Q1755" s="374">
        <f t="shared" si="68"/>
        <v>1.7179999999999216</v>
      </c>
      <c r="R1755" s="206">
        <v>1.75</v>
      </c>
    </row>
    <row r="1756" spans="17:18">
      <c r="Q1756" s="374">
        <f t="shared" si="68"/>
        <v>1.7189999999999215</v>
      </c>
      <c r="R1756" s="206">
        <v>1.75</v>
      </c>
    </row>
    <row r="1757" spans="17:18">
      <c r="Q1757" s="374">
        <f t="shared" si="68"/>
        <v>1.7199999999999214</v>
      </c>
      <c r="R1757" s="206">
        <v>1.75</v>
      </c>
    </row>
    <row r="1758" spans="17:18">
      <c r="Q1758" s="374">
        <f t="shared" si="68"/>
        <v>1.7209999999999213</v>
      </c>
      <c r="R1758" s="206">
        <v>1.75</v>
      </c>
    </row>
    <row r="1759" spans="17:18">
      <c r="Q1759" s="374">
        <f t="shared" si="68"/>
        <v>1.7219999999999211</v>
      </c>
      <c r="R1759" s="206">
        <v>1.75</v>
      </c>
    </row>
    <row r="1760" spans="17:18">
      <c r="Q1760" s="374">
        <f t="shared" si="68"/>
        <v>1.722999999999921</v>
      </c>
      <c r="R1760" s="206">
        <v>1.75</v>
      </c>
    </row>
    <row r="1761" spans="17:18">
      <c r="Q1761" s="374">
        <f t="shared" si="68"/>
        <v>1.7239999999999209</v>
      </c>
      <c r="R1761" s="206">
        <v>1.75</v>
      </c>
    </row>
    <row r="1762" spans="17:18">
      <c r="Q1762" s="374">
        <f t="shared" si="68"/>
        <v>1.7249999999999208</v>
      </c>
      <c r="R1762" s="206">
        <v>1.75</v>
      </c>
    </row>
    <row r="1763" spans="17:18">
      <c r="Q1763" s="374">
        <f t="shared" si="68"/>
        <v>1.7259999999999207</v>
      </c>
      <c r="R1763" s="206">
        <v>1.75</v>
      </c>
    </row>
    <row r="1764" spans="17:18">
      <c r="Q1764" s="374">
        <f t="shared" si="68"/>
        <v>1.7269999999999206</v>
      </c>
      <c r="R1764" s="206">
        <v>1.75</v>
      </c>
    </row>
    <row r="1765" spans="17:18">
      <c r="Q1765" s="374">
        <f t="shared" si="68"/>
        <v>1.7279999999999205</v>
      </c>
      <c r="R1765" s="206">
        <v>1.75</v>
      </c>
    </row>
    <row r="1766" spans="17:18">
      <c r="Q1766" s="374">
        <f t="shared" si="68"/>
        <v>1.7289999999999204</v>
      </c>
      <c r="R1766" s="206">
        <v>1.75</v>
      </c>
    </row>
    <row r="1767" spans="17:18">
      <c r="Q1767" s="374">
        <f t="shared" ref="Q1767:Q1830" si="69">Q1766+0.001</f>
        <v>1.7299999999999203</v>
      </c>
      <c r="R1767" s="206">
        <v>1.75</v>
      </c>
    </row>
    <row r="1768" spans="17:18">
      <c r="Q1768" s="374">
        <f t="shared" si="69"/>
        <v>1.7309999999999202</v>
      </c>
      <c r="R1768" s="206">
        <v>1.75</v>
      </c>
    </row>
    <row r="1769" spans="17:18">
      <c r="Q1769" s="374">
        <f t="shared" si="69"/>
        <v>1.73199999999992</v>
      </c>
      <c r="R1769" s="206">
        <v>1.75</v>
      </c>
    </row>
    <row r="1770" spans="17:18">
      <c r="Q1770" s="374">
        <f t="shared" si="69"/>
        <v>1.7329999999999199</v>
      </c>
      <c r="R1770" s="206">
        <v>1.75</v>
      </c>
    </row>
    <row r="1771" spans="17:18">
      <c r="Q1771" s="374">
        <f t="shared" si="69"/>
        <v>1.7339999999999198</v>
      </c>
      <c r="R1771" s="206">
        <v>1.75</v>
      </c>
    </row>
    <row r="1772" spans="17:18">
      <c r="Q1772" s="374">
        <f t="shared" si="69"/>
        <v>1.7349999999999197</v>
      </c>
      <c r="R1772" s="206">
        <v>1.75</v>
      </c>
    </row>
    <row r="1773" spans="17:18">
      <c r="Q1773" s="374">
        <f t="shared" si="69"/>
        <v>1.7359999999999196</v>
      </c>
      <c r="R1773" s="206">
        <v>1.75</v>
      </c>
    </row>
    <row r="1774" spans="17:18">
      <c r="Q1774" s="374">
        <f t="shared" si="69"/>
        <v>1.7369999999999195</v>
      </c>
      <c r="R1774" s="206">
        <v>1.75</v>
      </c>
    </row>
    <row r="1775" spans="17:18">
      <c r="Q1775" s="374">
        <f t="shared" si="69"/>
        <v>1.7379999999999194</v>
      </c>
      <c r="R1775" s="206">
        <v>1.75</v>
      </c>
    </row>
    <row r="1776" spans="17:18">
      <c r="Q1776" s="374">
        <f t="shared" si="69"/>
        <v>1.7389999999999193</v>
      </c>
      <c r="R1776" s="206">
        <v>1.75</v>
      </c>
    </row>
    <row r="1777" spans="17:18">
      <c r="Q1777" s="374">
        <f t="shared" si="69"/>
        <v>1.7399999999999192</v>
      </c>
      <c r="R1777" s="206">
        <v>1.75</v>
      </c>
    </row>
    <row r="1778" spans="17:18">
      <c r="Q1778" s="374">
        <f t="shared" si="69"/>
        <v>1.7409999999999191</v>
      </c>
      <c r="R1778" s="206">
        <v>1.75</v>
      </c>
    </row>
    <row r="1779" spans="17:18">
      <c r="Q1779" s="374">
        <f t="shared" si="69"/>
        <v>1.7419999999999189</v>
      </c>
      <c r="R1779" s="206">
        <v>1.75</v>
      </c>
    </row>
    <row r="1780" spans="17:18">
      <c r="Q1780" s="374">
        <f t="shared" si="69"/>
        <v>1.7429999999999188</v>
      </c>
      <c r="R1780" s="206">
        <v>1.75</v>
      </c>
    </row>
    <row r="1781" spans="17:18">
      <c r="Q1781" s="374">
        <f t="shared" si="69"/>
        <v>1.7439999999999187</v>
      </c>
      <c r="R1781" s="206">
        <v>1.75</v>
      </c>
    </row>
    <row r="1782" spans="17:18">
      <c r="Q1782" s="374">
        <f t="shared" si="69"/>
        <v>1.7449999999999186</v>
      </c>
      <c r="R1782" s="206">
        <v>1.75</v>
      </c>
    </row>
    <row r="1783" spans="17:18">
      <c r="Q1783" s="374">
        <f t="shared" si="69"/>
        <v>1.7459999999999185</v>
      </c>
      <c r="R1783" s="206">
        <v>1.75</v>
      </c>
    </row>
    <row r="1784" spans="17:18">
      <c r="Q1784" s="374">
        <f t="shared" si="69"/>
        <v>1.7469999999999184</v>
      </c>
      <c r="R1784" s="206">
        <v>1.75</v>
      </c>
    </row>
    <row r="1785" spans="17:18">
      <c r="Q1785" s="374">
        <f t="shared" si="69"/>
        <v>1.7479999999999183</v>
      </c>
      <c r="R1785" s="206">
        <v>1.75</v>
      </c>
    </row>
    <row r="1786" spans="17:18">
      <c r="Q1786" s="374">
        <f t="shared" si="69"/>
        <v>1.7489999999999182</v>
      </c>
      <c r="R1786" s="206">
        <v>1.75</v>
      </c>
    </row>
    <row r="1787" spans="17:18">
      <c r="Q1787" s="374">
        <f t="shared" si="69"/>
        <v>1.7499999999999181</v>
      </c>
      <c r="R1787" s="206">
        <v>1.75</v>
      </c>
    </row>
    <row r="1788" spans="17:18">
      <c r="Q1788" s="374">
        <f t="shared" si="69"/>
        <v>1.750999999999918</v>
      </c>
      <c r="R1788" s="206">
        <v>2</v>
      </c>
    </row>
    <row r="1789" spans="17:18">
      <c r="Q1789" s="374">
        <f t="shared" si="69"/>
        <v>1.7519999999999178</v>
      </c>
      <c r="R1789" s="206">
        <v>2</v>
      </c>
    </row>
    <row r="1790" spans="17:18">
      <c r="Q1790" s="374">
        <f t="shared" si="69"/>
        <v>1.7529999999999177</v>
      </c>
      <c r="R1790" s="206">
        <v>2</v>
      </c>
    </row>
    <row r="1791" spans="17:18">
      <c r="Q1791" s="374">
        <f t="shared" si="69"/>
        <v>1.7539999999999176</v>
      </c>
      <c r="R1791" s="206">
        <v>2</v>
      </c>
    </row>
    <row r="1792" spans="17:18">
      <c r="Q1792" s="374">
        <f t="shared" si="69"/>
        <v>1.7549999999999175</v>
      </c>
      <c r="R1792" s="206">
        <v>2</v>
      </c>
    </row>
    <row r="1793" spans="17:18">
      <c r="Q1793" s="374">
        <f t="shared" si="69"/>
        <v>1.7559999999999174</v>
      </c>
      <c r="R1793" s="206">
        <v>2</v>
      </c>
    </row>
    <row r="1794" spans="17:18">
      <c r="Q1794" s="374">
        <f t="shared" si="69"/>
        <v>1.7569999999999173</v>
      </c>
      <c r="R1794" s="206">
        <v>2</v>
      </c>
    </row>
    <row r="1795" spans="17:18">
      <c r="Q1795" s="374">
        <f t="shared" si="69"/>
        <v>1.7579999999999172</v>
      </c>
      <c r="R1795" s="206">
        <v>2</v>
      </c>
    </row>
    <row r="1796" spans="17:18">
      <c r="Q1796" s="374">
        <f t="shared" si="69"/>
        <v>1.7589999999999171</v>
      </c>
      <c r="R1796" s="206">
        <v>2</v>
      </c>
    </row>
    <row r="1797" spans="17:18">
      <c r="Q1797" s="374">
        <f t="shared" si="69"/>
        <v>1.759999999999917</v>
      </c>
      <c r="R1797" s="206">
        <v>2</v>
      </c>
    </row>
    <row r="1798" spans="17:18">
      <c r="Q1798" s="374">
        <f t="shared" si="69"/>
        <v>1.7609999999999169</v>
      </c>
      <c r="R1798" s="206">
        <v>2</v>
      </c>
    </row>
    <row r="1799" spans="17:18">
      <c r="Q1799" s="374">
        <f t="shared" si="69"/>
        <v>1.7619999999999167</v>
      </c>
      <c r="R1799" s="206">
        <v>2</v>
      </c>
    </row>
    <row r="1800" spans="17:18">
      <c r="Q1800" s="374">
        <f t="shared" si="69"/>
        <v>1.7629999999999166</v>
      </c>
      <c r="R1800" s="206">
        <v>2</v>
      </c>
    </row>
    <row r="1801" spans="17:18">
      <c r="Q1801" s="374">
        <f t="shared" si="69"/>
        <v>1.7639999999999165</v>
      </c>
      <c r="R1801" s="206">
        <v>2</v>
      </c>
    </row>
    <row r="1802" spans="17:18">
      <c r="Q1802" s="374">
        <f t="shared" si="69"/>
        <v>1.7649999999999164</v>
      </c>
      <c r="R1802" s="206">
        <v>2</v>
      </c>
    </row>
    <row r="1803" spans="17:18">
      <c r="Q1803" s="374">
        <f t="shared" si="69"/>
        <v>1.7659999999999163</v>
      </c>
      <c r="R1803" s="206">
        <v>2</v>
      </c>
    </row>
    <row r="1804" spans="17:18">
      <c r="Q1804" s="374">
        <f t="shared" si="69"/>
        <v>1.7669999999999162</v>
      </c>
      <c r="R1804" s="206">
        <v>2</v>
      </c>
    </row>
    <row r="1805" spans="17:18">
      <c r="Q1805" s="374">
        <f t="shared" si="69"/>
        <v>1.7679999999999161</v>
      </c>
      <c r="R1805" s="206">
        <v>2</v>
      </c>
    </row>
    <row r="1806" spans="17:18">
      <c r="Q1806" s="374">
        <f t="shared" si="69"/>
        <v>1.768999999999916</v>
      </c>
      <c r="R1806" s="206">
        <v>2</v>
      </c>
    </row>
    <row r="1807" spans="17:18">
      <c r="Q1807" s="374">
        <f t="shared" si="69"/>
        <v>1.7699999999999159</v>
      </c>
      <c r="R1807" s="206">
        <v>2</v>
      </c>
    </row>
    <row r="1808" spans="17:18">
      <c r="Q1808" s="374">
        <f t="shared" si="69"/>
        <v>1.7709999999999158</v>
      </c>
      <c r="R1808" s="206">
        <v>2</v>
      </c>
    </row>
    <row r="1809" spans="17:18">
      <c r="Q1809" s="374">
        <f t="shared" si="69"/>
        <v>1.7719999999999156</v>
      </c>
      <c r="R1809" s="206">
        <v>2</v>
      </c>
    </row>
    <row r="1810" spans="17:18">
      <c r="Q1810" s="374">
        <f t="shared" si="69"/>
        <v>1.7729999999999155</v>
      </c>
      <c r="R1810" s="206">
        <v>2</v>
      </c>
    </row>
    <row r="1811" spans="17:18">
      <c r="Q1811" s="374">
        <f t="shared" si="69"/>
        <v>1.7739999999999154</v>
      </c>
      <c r="R1811" s="206">
        <v>2</v>
      </c>
    </row>
    <row r="1812" spans="17:18">
      <c r="Q1812" s="374">
        <f t="shared" si="69"/>
        <v>1.7749999999999153</v>
      </c>
      <c r="R1812" s="206">
        <v>2</v>
      </c>
    </row>
    <row r="1813" spans="17:18">
      <c r="Q1813" s="374">
        <f t="shared" si="69"/>
        <v>1.7759999999999152</v>
      </c>
      <c r="R1813" s="206">
        <v>2</v>
      </c>
    </row>
    <row r="1814" spans="17:18">
      <c r="Q1814" s="374">
        <f t="shared" si="69"/>
        <v>1.7769999999999151</v>
      </c>
      <c r="R1814" s="206">
        <v>2</v>
      </c>
    </row>
    <row r="1815" spans="17:18">
      <c r="Q1815" s="374">
        <f t="shared" si="69"/>
        <v>1.777999999999915</v>
      </c>
      <c r="R1815" s="206">
        <v>2</v>
      </c>
    </row>
    <row r="1816" spans="17:18">
      <c r="Q1816" s="374">
        <f t="shared" si="69"/>
        <v>1.7789999999999149</v>
      </c>
      <c r="R1816" s="206">
        <v>2</v>
      </c>
    </row>
    <row r="1817" spans="17:18">
      <c r="Q1817" s="374">
        <f t="shared" si="69"/>
        <v>1.7799999999999148</v>
      </c>
      <c r="R1817" s="206">
        <v>2</v>
      </c>
    </row>
    <row r="1818" spans="17:18">
      <c r="Q1818" s="374">
        <f t="shared" si="69"/>
        <v>1.7809999999999147</v>
      </c>
      <c r="R1818" s="206">
        <v>2</v>
      </c>
    </row>
    <row r="1819" spans="17:18">
      <c r="Q1819" s="374">
        <f t="shared" si="69"/>
        <v>1.7819999999999145</v>
      </c>
      <c r="R1819" s="206">
        <v>2</v>
      </c>
    </row>
    <row r="1820" spans="17:18">
      <c r="Q1820" s="374">
        <f t="shared" si="69"/>
        <v>1.7829999999999144</v>
      </c>
      <c r="R1820" s="206">
        <v>2</v>
      </c>
    </row>
    <row r="1821" spans="17:18">
      <c r="Q1821" s="374">
        <f t="shared" si="69"/>
        <v>1.7839999999999143</v>
      </c>
      <c r="R1821" s="206">
        <v>2</v>
      </c>
    </row>
    <row r="1822" spans="17:18">
      <c r="Q1822" s="374">
        <f t="shared" si="69"/>
        <v>1.7849999999999142</v>
      </c>
      <c r="R1822" s="206">
        <v>2</v>
      </c>
    </row>
    <row r="1823" spans="17:18">
      <c r="Q1823" s="374">
        <f t="shared" si="69"/>
        <v>1.7859999999999141</v>
      </c>
      <c r="R1823" s="206">
        <v>2</v>
      </c>
    </row>
    <row r="1824" spans="17:18">
      <c r="Q1824" s="374">
        <f t="shared" si="69"/>
        <v>1.786999999999914</v>
      </c>
      <c r="R1824" s="206">
        <v>2</v>
      </c>
    </row>
    <row r="1825" spans="17:18">
      <c r="Q1825" s="374">
        <f t="shared" si="69"/>
        <v>1.7879999999999139</v>
      </c>
      <c r="R1825" s="206">
        <v>2</v>
      </c>
    </row>
    <row r="1826" spans="17:18">
      <c r="Q1826" s="374">
        <f t="shared" si="69"/>
        <v>1.7889999999999138</v>
      </c>
      <c r="R1826" s="206">
        <v>2</v>
      </c>
    </row>
    <row r="1827" spans="17:18">
      <c r="Q1827" s="374">
        <f t="shared" si="69"/>
        <v>1.7899999999999137</v>
      </c>
      <c r="R1827" s="206">
        <v>2</v>
      </c>
    </row>
    <row r="1828" spans="17:18">
      <c r="Q1828" s="374">
        <f t="shared" si="69"/>
        <v>1.7909999999999136</v>
      </c>
      <c r="R1828" s="206">
        <v>2</v>
      </c>
    </row>
    <row r="1829" spans="17:18">
      <c r="Q1829" s="374">
        <f t="shared" si="69"/>
        <v>1.7919999999999134</v>
      </c>
      <c r="R1829" s="206">
        <v>2</v>
      </c>
    </row>
    <row r="1830" spans="17:18">
      <c r="Q1830" s="374">
        <f t="shared" si="69"/>
        <v>1.7929999999999133</v>
      </c>
      <c r="R1830" s="206">
        <v>2</v>
      </c>
    </row>
    <row r="1831" spans="17:18">
      <c r="Q1831" s="374">
        <f t="shared" ref="Q1831:Q1894" si="70">Q1830+0.001</f>
        <v>1.7939999999999132</v>
      </c>
      <c r="R1831" s="206">
        <v>2</v>
      </c>
    </row>
    <row r="1832" spans="17:18">
      <c r="Q1832" s="374">
        <f t="shared" si="70"/>
        <v>1.7949999999999131</v>
      </c>
      <c r="R1832" s="206">
        <v>2</v>
      </c>
    </row>
    <row r="1833" spans="17:18">
      <c r="Q1833" s="374">
        <f t="shared" si="70"/>
        <v>1.795999999999913</v>
      </c>
      <c r="R1833" s="206">
        <v>2</v>
      </c>
    </row>
    <row r="1834" spans="17:18">
      <c r="Q1834" s="374">
        <f t="shared" si="70"/>
        <v>1.7969999999999129</v>
      </c>
      <c r="R1834" s="206">
        <v>2</v>
      </c>
    </row>
    <row r="1835" spans="17:18">
      <c r="Q1835" s="374">
        <f t="shared" si="70"/>
        <v>1.7979999999999128</v>
      </c>
      <c r="R1835" s="206">
        <v>2</v>
      </c>
    </row>
    <row r="1836" spans="17:18">
      <c r="Q1836" s="374">
        <f t="shared" si="70"/>
        <v>1.7989999999999127</v>
      </c>
      <c r="R1836" s="206">
        <v>2</v>
      </c>
    </row>
    <row r="1837" spans="17:18">
      <c r="Q1837" s="374">
        <f t="shared" si="70"/>
        <v>1.7999999999999126</v>
      </c>
      <c r="R1837" s="206">
        <v>2</v>
      </c>
    </row>
    <row r="1838" spans="17:18">
      <c r="Q1838" s="374">
        <f t="shared" si="70"/>
        <v>1.8009999999999124</v>
      </c>
      <c r="R1838" s="206">
        <v>2</v>
      </c>
    </row>
    <row r="1839" spans="17:18">
      <c r="Q1839" s="374">
        <f t="shared" si="70"/>
        <v>1.8019999999999123</v>
      </c>
      <c r="R1839" s="206">
        <v>2</v>
      </c>
    </row>
    <row r="1840" spans="17:18">
      <c r="Q1840" s="374">
        <f t="shared" si="70"/>
        <v>1.8029999999999122</v>
      </c>
      <c r="R1840" s="206">
        <v>2</v>
      </c>
    </row>
    <row r="1841" spans="17:18">
      <c r="Q1841" s="374">
        <f t="shared" si="70"/>
        <v>1.8039999999999121</v>
      </c>
      <c r="R1841" s="206">
        <v>2</v>
      </c>
    </row>
    <row r="1842" spans="17:18">
      <c r="Q1842" s="374">
        <f t="shared" si="70"/>
        <v>1.804999999999912</v>
      </c>
      <c r="R1842" s="206">
        <v>2</v>
      </c>
    </row>
    <row r="1843" spans="17:18">
      <c r="Q1843" s="374">
        <f t="shared" si="70"/>
        <v>1.8059999999999119</v>
      </c>
      <c r="R1843" s="206">
        <v>2</v>
      </c>
    </row>
    <row r="1844" spans="17:18">
      <c r="Q1844" s="374">
        <f t="shared" si="70"/>
        <v>1.8069999999999118</v>
      </c>
      <c r="R1844" s="206">
        <v>2</v>
      </c>
    </row>
    <row r="1845" spans="17:18">
      <c r="Q1845" s="374">
        <f t="shared" si="70"/>
        <v>1.8079999999999117</v>
      </c>
      <c r="R1845" s="206">
        <v>2</v>
      </c>
    </row>
    <row r="1846" spans="17:18">
      <c r="Q1846" s="374">
        <f t="shared" si="70"/>
        <v>1.8089999999999116</v>
      </c>
      <c r="R1846" s="206">
        <v>2</v>
      </c>
    </row>
    <row r="1847" spans="17:18">
      <c r="Q1847" s="374">
        <f t="shared" si="70"/>
        <v>1.8099999999999115</v>
      </c>
      <c r="R1847" s="206">
        <v>2</v>
      </c>
    </row>
    <row r="1848" spans="17:18">
      <c r="Q1848" s="374">
        <f t="shared" si="70"/>
        <v>1.8109999999999113</v>
      </c>
      <c r="R1848" s="206">
        <v>2</v>
      </c>
    </row>
    <row r="1849" spans="17:18">
      <c r="Q1849" s="374">
        <f t="shared" si="70"/>
        <v>1.8119999999999112</v>
      </c>
      <c r="R1849" s="206">
        <v>2</v>
      </c>
    </row>
    <row r="1850" spans="17:18">
      <c r="Q1850" s="374">
        <f t="shared" si="70"/>
        <v>1.8129999999999111</v>
      </c>
      <c r="R1850" s="206">
        <v>2</v>
      </c>
    </row>
    <row r="1851" spans="17:18">
      <c r="Q1851" s="374">
        <f t="shared" si="70"/>
        <v>1.813999999999911</v>
      </c>
      <c r="R1851" s="206">
        <v>2</v>
      </c>
    </row>
    <row r="1852" spans="17:18">
      <c r="Q1852" s="374">
        <f t="shared" si="70"/>
        <v>1.8149999999999109</v>
      </c>
      <c r="R1852" s="206">
        <v>2</v>
      </c>
    </row>
    <row r="1853" spans="17:18">
      <c r="Q1853" s="374">
        <f t="shared" si="70"/>
        <v>1.8159999999999108</v>
      </c>
      <c r="R1853" s="206">
        <v>2</v>
      </c>
    </row>
    <row r="1854" spans="17:18">
      <c r="Q1854" s="374">
        <f t="shared" si="70"/>
        <v>1.8169999999999107</v>
      </c>
      <c r="R1854" s="206">
        <v>2</v>
      </c>
    </row>
    <row r="1855" spans="17:18">
      <c r="Q1855" s="374">
        <f t="shared" si="70"/>
        <v>1.8179999999999106</v>
      </c>
      <c r="R1855" s="206">
        <v>2</v>
      </c>
    </row>
    <row r="1856" spans="17:18">
      <c r="Q1856" s="374">
        <f t="shared" si="70"/>
        <v>1.8189999999999105</v>
      </c>
      <c r="R1856" s="206">
        <v>2</v>
      </c>
    </row>
    <row r="1857" spans="17:18">
      <c r="Q1857" s="374">
        <f t="shared" si="70"/>
        <v>1.8199999999999104</v>
      </c>
      <c r="R1857" s="206">
        <v>2</v>
      </c>
    </row>
    <row r="1858" spans="17:18">
      <c r="Q1858" s="374">
        <f t="shared" si="70"/>
        <v>1.8209999999999102</v>
      </c>
      <c r="R1858" s="206">
        <v>2</v>
      </c>
    </row>
    <row r="1859" spans="17:18">
      <c r="Q1859" s="374">
        <f t="shared" si="70"/>
        <v>1.8219999999999101</v>
      </c>
      <c r="R1859" s="206">
        <v>2</v>
      </c>
    </row>
    <row r="1860" spans="17:18">
      <c r="Q1860" s="374">
        <f t="shared" si="70"/>
        <v>1.82299999999991</v>
      </c>
      <c r="R1860" s="206">
        <v>2</v>
      </c>
    </row>
    <row r="1861" spans="17:18">
      <c r="Q1861" s="374">
        <f t="shared" si="70"/>
        <v>1.8239999999999099</v>
      </c>
      <c r="R1861" s="206">
        <v>2</v>
      </c>
    </row>
    <row r="1862" spans="17:18">
      <c r="Q1862" s="374">
        <f t="shared" si="70"/>
        <v>1.8249999999999098</v>
      </c>
      <c r="R1862" s="206">
        <v>2</v>
      </c>
    </row>
    <row r="1863" spans="17:18">
      <c r="Q1863" s="374">
        <f t="shared" si="70"/>
        <v>1.8259999999999097</v>
      </c>
      <c r="R1863" s="206">
        <v>2</v>
      </c>
    </row>
    <row r="1864" spans="17:18">
      <c r="Q1864" s="374">
        <f t="shared" si="70"/>
        <v>1.8269999999999096</v>
      </c>
      <c r="R1864" s="206">
        <v>2</v>
      </c>
    </row>
    <row r="1865" spans="17:18">
      <c r="Q1865" s="374">
        <f t="shared" si="70"/>
        <v>1.8279999999999095</v>
      </c>
      <c r="R1865" s="206">
        <v>2</v>
      </c>
    </row>
    <row r="1866" spans="17:18">
      <c r="Q1866" s="374">
        <f t="shared" si="70"/>
        <v>1.8289999999999094</v>
      </c>
      <c r="R1866" s="206">
        <v>2</v>
      </c>
    </row>
    <row r="1867" spans="17:18">
      <c r="Q1867" s="374">
        <f t="shared" si="70"/>
        <v>1.8299999999999093</v>
      </c>
      <c r="R1867" s="206">
        <v>2</v>
      </c>
    </row>
    <row r="1868" spans="17:18">
      <c r="Q1868" s="374">
        <f t="shared" si="70"/>
        <v>1.8309999999999091</v>
      </c>
      <c r="R1868" s="206">
        <v>2</v>
      </c>
    </row>
    <row r="1869" spans="17:18">
      <c r="Q1869" s="374">
        <f t="shared" si="70"/>
        <v>1.831999999999909</v>
      </c>
      <c r="R1869" s="206">
        <v>2</v>
      </c>
    </row>
    <row r="1870" spans="17:18">
      <c r="Q1870" s="374">
        <f t="shared" si="70"/>
        <v>1.8329999999999089</v>
      </c>
      <c r="R1870" s="206">
        <v>2</v>
      </c>
    </row>
    <row r="1871" spans="17:18">
      <c r="Q1871" s="374">
        <f t="shared" si="70"/>
        <v>1.8339999999999088</v>
      </c>
      <c r="R1871" s="206">
        <v>2</v>
      </c>
    </row>
    <row r="1872" spans="17:18">
      <c r="Q1872" s="374">
        <f t="shared" si="70"/>
        <v>1.8349999999999087</v>
      </c>
      <c r="R1872" s="206">
        <v>2</v>
      </c>
    </row>
    <row r="1873" spans="17:18">
      <c r="Q1873" s="374">
        <f t="shared" si="70"/>
        <v>1.8359999999999086</v>
      </c>
      <c r="R1873" s="206">
        <v>2</v>
      </c>
    </row>
    <row r="1874" spans="17:18">
      <c r="Q1874" s="374">
        <f t="shared" si="70"/>
        <v>1.8369999999999085</v>
      </c>
      <c r="R1874" s="206">
        <v>2</v>
      </c>
    </row>
    <row r="1875" spans="17:18">
      <c r="Q1875" s="374">
        <f t="shared" si="70"/>
        <v>1.8379999999999084</v>
      </c>
      <c r="R1875" s="206">
        <v>2</v>
      </c>
    </row>
    <row r="1876" spans="17:18">
      <c r="Q1876" s="374">
        <f t="shared" si="70"/>
        <v>1.8389999999999083</v>
      </c>
      <c r="R1876" s="206">
        <v>2</v>
      </c>
    </row>
    <row r="1877" spans="17:18">
      <c r="Q1877" s="374">
        <f t="shared" si="70"/>
        <v>1.8399999999999082</v>
      </c>
      <c r="R1877" s="206">
        <v>2</v>
      </c>
    </row>
    <row r="1878" spans="17:18">
      <c r="Q1878" s="374">
        <f t="shared" si="70"/>
        <v>1.840999999999908</v>
      </c>
      <c r="R1878" s="206">
        <v>2</v>
      </c>
    </row>
    <row r="1879" spans="17:18">
      <c r="Q1879" s="374">
        <f t="shared" si="70"/>
        <v>1.8419999999999079</v>
      </c>
      <c r="R1879" s="206">
        <v>2</v>
      </c>
    </row>
    <row r="1880" spans="17:18">
      <c r="Q1880" s="374">
        <f t="shared" si="70"/>
        <v>1.8429999999999078</v>
      </c>
      <c r="R1880" s="206">
        <v>2</v>
      </c>
    </row>
    <row r="1881" spans="17:18">
      <c r="Q1881" s="374">
        <f t="shared" si="70"/>
        <v>1.8439999999999077</v>
      </c>
      <c r="R1881" s="206">
        <v>2</v>
      </c>
    </row>
    <row r="1882" spans="17:18">
      <c r="Q1882" s="374">
        <f t="shared" si="70"/>
        <v>1.8449999999999076</v>
      </c>
      <c r="R1882" s="206">
        <v>2</v>
      </c>
    </row>
    <row r="1883" spans="17:18">
      <c r="Q1883" s="374">
        <f t="shared" si="70"/>
        <v>1.8459999999999075</v>
      </c>
      <c r="R1883" s="206">
        <v>2</v>
      </c>
    </row>
    <row r="1884" spans="17:18">
      <c r="Q1884" s="374">
        <f t="shared" si="70"/>
        <v>1.8469999999999074</v>
      </c>
      <c r="R1884" s="206">
        <v>2</v>
      </c>
    </row>
    <row r="1885" spans="17:18">
      <c r="Q1885" s="374">
        <f t="shared" si="70"/>
        <v>1.8479999999999073</v>
      </c>
      <c r="R1885" s="206">
        <v>2</v>
      </c>
    </row>
    <row r="1886" spans="17:18">
      <c r="Q1886" s="374">
        <f t="shared" si="70"/>
        <v>1.8489999999999072</v>
      </c>
      <c r="R1886" s="206">
        <v>2</v>
      </c>
    </row>
    <row r="1887" spans="17:18">
      <c r="Q1887" s="374">
        <f t="shared" si="70"/>
        <v>1.8499999999999071</v>
      </c>
      <c r="R1887" s="206">
        <v>2</v>
      </c>
    </row>
    <row r="1888" spans="17:18">
      <c r="Q1888" s="374">
        <f t="shared" si="70"/>
        <v>1.8509999999999069</v>
      </c>
      <c r="R1888" s="206">
        <v>2</v>
      </c>
    </row>
    <row r="1889" spans="17:18">
      <c r="Q1889" s="374">
        <f t="shared" si="70"/>
        <v>1.8519999999999068</v>
      </c>
      <c r="R1889" s="206">
        <v>2</v>
      </c>
    </row>
    <row r="1890" spans="17:18">
      <c r="Q1890" s="374">
        <f t="shared" si="70"/>
        <v>1.8529999999999067</v>
      </c>
      <c r="R1890" s="206">
        <v>2</v>
      </c>
    </row>
    <row r="1891" spans="17:18">
      <c r="Q1891" s="374">
        <f t="shared" si="70"/>
        <v>1.8539999999999066</v>
      </c>
      <c r="R1891" s="206">
        <v>2</v>
      </c>
    </row>
    <row r="1892" spans="17:18">
      <c r="Q1892" s="374">
        <f t="shared" si="70"/>
        <v>1.8549999999999065</v>
      </c>
      <c r="R1892" s="206">
        <v>2</v>
      </c>
    </row>
    <row r="1893" spans="17:18">
      <c r="Q1893" s="374">
        <f t="shared" si="70"/>
        <v>1.8559999999999064</v>
      </c>
      <c r="R1893" s="206">
        <v>2</v>
      </c>
    </row>
    <row r="1894" spans="17:18">
      <c r="Q1894" s="374">
        <f t="shared" si="70"/>
        <v>1.8569999999999063</v>
      </c>
      <c r="R1894" s="206">
        <v>2</v>
      </c>
    </row>
    <row r="1895" spans="17:18">
      <c r="Q1895" s="374">
        <f t="shared" ref="Q1895:Q1958" si="71">Q1894+0.001</f>
        <v>1.8579999999999062</v>
      </c>
      <c r="R1895" s="206">
        <v>2</v>
      </c>
    </row>
    <row r="1896" spans="17:18">
      <c r="Q1896" s="374">
        <f t="shared" si="71"/>
        <v>1.8589999999999061</v>
      </c>
      <c r="R1896" s="206">
        <v>2</v>
      </c>
    </row>
    <row r="1897" spans="17:18">
      <c r="Q1897" s="374">
        <f t="shared" si="71"/>
        <v>1.859999999999906</v>
      </c>
      <c r="R1897" s="206">
        <v>2</v>
      </c>
    </row>
    <row r="1898" spans="17:18">
      <c r="Q1898" s="374">
        <f t="shared" si="71"/>
        <v>1.8609999999999058</v>
      </c>
      <c r="R1898" s="206">
        <v>2</v>
      </c>
    </row>
    <row r="1899" spans="17:18">
      <c r="Q1899" s="374">
        <f t="shared" si="71"/>
        <v>1.8619999999999057</v>
      </c>
      <c r="R1899" s="206">
        <v>2</v>
      </c>
    </row>
    <row r="1900" spans="17:18">
      <c r="Q1900" s="374">
        <f t="shared" si="71"/>
        <v>1.8629999999999056</v>
      </c>
      <c r="R1900" s="206">
        <v>2</v>
      </c>
    </row>
    <row r="1901" spans="17:18">
      <c r="Q1901" s="374">
        <f t="shared" si="71"/>
        <v>1.8639999999999055</v>
      </c>
      <c r="R1901" s="206">
        <v>2</v>
      </c>
    </row>
    <row r="1902" spans="17:18">
      <c r="Q1902" s="374">
        <f t="shared" si="71"/>
        <v>1.8649999999999054</v>
      </c>
      <c r="R1902" s="206">
        <v>2</v>
      </c>
    </row>
    <row r="1903" spans="17:18">
      <c r="Q1903" s="374">
        <f t="shared" si="71"/>
        <v>1.8659999999999053</v>
      </c>
      <c r="R1903" s="206">
        <v>2</v>
      </c>
    </row>
    <row r="1904" spans="17:18">
      <c r="Q1904" s="374">
        <f t="shared" si="71"/>
        <v>1.8669999999999052</v>
      </c>
      <c r="R1904" s="206">
        <v>2</v>
      </c>
    </row>
    <row r="1905" spans="17:18">
      <c r="Q1905" s="374">
        <f t="shared" si="71"/>
        <v>1.8679999999999051</v>
      </c>
      <c r="R1905" s="206">
        <v>2</v>
      </c>
    </row>
    <row r="1906" spans="17:18">
      <c r="Q1906" s="374">
        <f t="shared" si="71"/>
        <v>1.868999999999905</v>
      </c>
      <c r="R1906" s="206">
        <v>2</v>
      </c>
    </row>
    <row r="1907" spans="17:18">
      <c r="Q1907" s="374">
        <f t="shared" si="71"/>
        <v>1.8699999999999048</v>
      </c>
      <c r="R1907" s="206">
        <v>2</v>
      </c>
    </row>
    <row r="1908" spans="17:18">
      <c r="Q1908" s="374">
        <f t="shared" si="71"/>
        <v>1.8709999999999047</v>
      </c>
      <c r="R1908" s="206">
        <v>2</v>
      </c>
    </row>
    <row r="1909" spans="17:18">
      <c r="Q1909" s="374">
        <f t="shared" si="71"/>
        <v>1.8719999999999046</v>
      </c>
      <c r="R1909" s="206">
        <v>2</v>
      </c>
    </row>
    <row r="1910" spans="17:18">
      <c r="Q1910" s="374">
        <f t="shared" si="71"/>
        <v>1.8729999999999045</v>
      </c>
      <c r="R1910" s="206">
        <v>2</v>
      </c>
    </row>
    <row r="1911" spans="17:18">
      <c r="Q1911" s="374">
        <f t="shared" si="71"/>
        <v>1.8739999999999044</v>
      </c>
      <c r="R1911" s="206">
        <v>2</v>
      </c>
    </row>
    <row r="1912" spans="17:18">
      <c r="Q1912" s="374">
        <f t="shared" si="71"/>
        <v>1.8749999999999043</v>
      </c>
      <c r="R1912" s="206">
        <v>2</v>
      </c>
    </row>
    <row r="1913" spans="17:18">
      <c r="Q1913" s="374">
        <f t="shared" si="71"/>
        <v>1.8759999999999042</v>
      </c>
      <c r="R1913" s="206">
        <v>2</v>
      </c>
    </row>
    <row r="1914" spans="17:18">
      <c r="Q1914" s="374">
        <f t="shared" si="71"/>
        <v>1.8769999999999041</v>
      </c>
      <c r="R1914" s="206">
        <v>2</v>
      </c>
    </row>
    <row r="1915" spans="17:18">
      <c r="Q1915" s="374">
        <f t="shared" si="71"/>
        <v>1.877999999999904</v>
      </c>
      <c r="R1915" s="206">
        <v>2</v>
      </c>
    </row>
    <row r="1916" spans="17:18">
      <c r="Q1916" s="374">
        <f t="shared" si="71"/>
        <v>1.8789999999999039</v>
      </c>
      <c r="R1916" s="206">
        <v>2</v>
      </c>
    </row>
    <row r="1917" spans="17:18">
      <c r="Q1917" s="374">
        <f t="shared" si="71"/>
        <v>1.8799999999999037</v>
      </c>
      <c r="R1917" s="206">
        <v>2</v>
      </c>
    </row>
    <row r="1918" spans="17:18">
      <c r="Q1918" s="374">
        <f t="shared" si="71"/>
        <v>1.8809999999999036</v>
      </c>
      <c r="R1918" s="206">
        <v>2</v>
      </c>
    </row>
    <row r="1919" spans="17:18">
      <c r="Q1919" s="374">
        <f t="shared" si="71"/>
        <v>1.8819999999999035</v>
      </c>
      <c r="R1919" s="206">
        <v>2</v>
      </c>
    </row>
    <row r="1920" spans="17:18">
      <c r="Q1920" s="374">
        <f t="shared" si="71"/>
        <v>1.8829999999999034</v>
      </c>
      <c r="R1920" s="206">
        <v>2</v>
      </c>
    </row>
    <row r="1921" spans="17:18">
      <c r="Q1921" s="374">
        <f t="shared" si="71"/>
        <v>1.8839999999999033</v>
      </c>
      <c r="R1921" s="206">
        <v>2</v>
      </c>
    </row>
    <row r="1922" spans="17:18">
      <c r="Q1922" s="374">
        <f t="shared" si="71"/>
        <v>1.8849999999999032</v>
      </c>
      <c r="R1922" s="206">
        <v>2</v>
      </c>
    </row>
    <row r="1923" spans="17:18">
      <c r="Q1923" s="374">
        <f t="shared" si="71"/>
        <v>1.8859999999999031</v>
      </c>
      <c r="R1923" s="206">
        <v>2</v>
      </c>
    </row>
    <row r="1924" spans="17:18">
      <c r="Q1924" s="374">
        <f t="shared" si="71"/>
        <v>1.886999999999903</v>
      </c>
      <c r="R1924" s="206">
        <v>2</v>
      </c>
    </row>
    <row r="1925" spans="17:18">
      <c r="Q1925" s="374">
        <f t="shared" si="71"/>
        <v>1.8879999999999029</v>
      </c>
      <c r="R1925" s="206">
        <v>2</v>
      </c>
    </row>
    <row r="1926" spans="17:18">
      <c r="Q1926" s="374">
        <f t="shared" si="71"/>
        <v>1.8889999999999028</v>
      </c>
      <c r="R1926" s="206">
        <v>2</v>
      </c>
    </row>
    <row r="1927" spans="17:18">
      <c r="Q1927" s="374">
        <f t="shared" si="71"/>
        <v>1.8899999999999026</v>
      </c>
      <c r="R1927" s="206">
        <v>2</v>
      </c>
    </row>
    <row r="1928" spans="17:18">
      <c r="Q1928" s="374">
        <f t="shared" si="71"/>
        <v>1.8909999999999025</v>
      </c>
      <c r="R1928" s="206">
        <v>2</v>
      </c>
    </row>
    <row r="1929" spans="17:18">
      <c r="Q1929" s="374">
        <f t="shared" si="71"/>
        <v>1.8919999999999024</v>
      </c>
      <c r="R1929" s="206">
        <v>2</v>
      </c>
    </row>
    <row r="1930" spans="17:18">
      <c r="Q1930" s="374">
        <f t="shared" si="71"/>
        <v>1.8929999999999023</v>
      </c>
      <c r="R1930" s="206">
        <v>2</v>
      </c>
    </row>
    <row r="1931" spans="17:18">
      <c r="Q1931" s="374">
        <f t="shared" si="71"/>
        <v>1.8939999999999022</v>
      </c>
      <c r="R1931" s="206">
        <v>2</v>
      </c>
    </row>
    <row r="1932" spans="17:18">
      <c r="Q1932" s="374">
        <f t="shared" si="71"/>
        <v>1.8949999999999021</v>
      </c>
      <c r="R1932" s="206">
        <v>2</v>
      </c>
    </row>
    <row r="1933" spans="17:18">
      <c r="Q1933" s="374">
        <f t="shared" si="71"/>
        <v>1.895999999999902</v>
      </c>
      <c r="R1933" s="206">
        <v>2</v>
      </c>
    </row>
    <row r="1934" spans="17:18">
      <c r="Q1934" s="374">
        <f t="shared" si="71"/>
        <v>1.8969999999999019</v>
      </c>
      <c r="R1934" s="206">
        <v>2</v>
      </c>
    </row>
    <row r="1935" spans="17:18">
      <c r="Q1935" s="374">
        <f t="shared" si="71"/>
        <v>1.8979999999999018</v>
      </c>
      <c r="R1935" s="206">
        <v>2</v>
      </c>
    </row>
    <row r="1936" spans="17:18">
      <c r="Q1936" s="374">
        <f t="shared" si="71"/>
        <v>1.8989999999999017</v>
      </c>
      <c r="R1936" s="206">
        <v>2</v>
      </c>
    </row>
    <row r="1937" spans="17:18">
      <c r="Q1937" s="374">
        <f t="shared" si="71"/>
        <v>1.8999999999999015</v>
      </c>
      <c r="R1937" s="206">
        <v>2</v>
      </c>
    </row>
    <row r="1938" spans="17:18">
      <c r="Q1938" s="374">
        <f t="shared" si="71"/>
        <v>1.9009999999999014</v>
      </c>
      <c r="R1938" s="206">
        <v>2</v>
      </c>
    </row>
    <row r="1939" spans="17:18">
      <c r="Q1939" s="374">
        <f t="shared" si="71"/>
        <v>1.9019999999999013</v>
      </c>
      <c r="R1939" s="206">
        <v>2</v>
      </c>
    </row>
    <row r="1940" spans="17:18">
      <c r="Q1940" s="374">
        <f t="shared" si="71"/>
        <v>1.9029999999999012</v>
      </c>
      <c r="R1940" s="206">
        <v>2</v>
      </c>
    </row>
    <row r="1941" spans="17:18">
      <c r="Q1941" s="374">
        <f t="shared" si="71"/>
        <v>1.9039999999999011</v>
      </c>
      <c r="R1941" s="206">
        <v>2</v>
      </c>
    </row>
    <row r="1942" spans="17:18">
      <c r="Q1942" s="374">
        <f t="shared" si="71"/>
        <v>1.904999999999901</v>
      </c>
      <c r="R1942" s="206">
        <v>2</v>
      </c>
    </row>
    <row r="1943" spans="17:18">
      <c r="Q1943" s="374">
        <f t="shared" si="71"/>
        <v>1.9059999999999009</v>
      </c>
      <c r="R1943" s="206">
        <v>2</v>
      </c>
    </row>
    <row r="1944" spans="17:18">
      <c r="Q1944" s="374">
        <f t="shared" si="71"/>
        <v>1.9069999999999008</v>
      </c>
      <c r="R1944" s="206">
        <v>2</v>
      </c>
    </row>
    <row r="1945" spans="17:18">
      <c r="Q1945" s="374">
        <f t="shared" si="71"/>
        <v>1.9079999999999007</v>
      </c>
      <c r="R1945" s="206">
        <v>2</v>
      </c>
    </row>
    <row r="1946" spans="17:18">
      <c r="Q1946" s="374">
        <f t="shared" si="71"/>
        <v>1.9089999999999006</v>
      </c>
      <c r="R1946" s="206">
        <v>2</v>
      </c>
    </row>
    <row r="1947" spans="17:18">
      <c r="Q1947" s="374">
        <f t="shared" si="71"/>
        <v>1.9099999999999004</v>
      </c>
      <c r="R1947" s="206">
        <v>2</v>
      </c>
    </row>
    <row r="1948" spans="17:18">
      <c r="Q1948" s="374">
        <f t="shared" si="71"/>
        <v>1.9109999999999003</v>
      </c>
      <c r="R1948" s="206">
        <v>2</v>
      </c>
    </row>
    <row r="1949" spans="17:18">
      <c r="Q1949" s="374">
        <f t="shared" si="71"/>
        <v>1.9119999999999002</v>
      </c>
      <c r="R1949" s="206">
        <v>2</v>
      </c>
    </row>
    <row r="1950" spans="17:18">
      <c r="Q1950" s="374">
        <f t="shared" si="71"/>
        <v>1.9129999999999001</v>
      </c>
      <c r="R1950" s="206">
        <v>2</v>
      </c>
    </row>
    <row r="1951" spans="17:18">
      <c r="Q1951" s="374">
        <f t="shared" si="71"/>
        <v>1.9139999999999</v>
      </c>
      <c r="R1951" s="206">
        <v>2</v>
      </c>
    </row>
    <row r="1952" spans="17:18">
      <c r="Q1952" s="374">
        <f t="shared" si="71"/>
        <v>1.9149999999998999</v>
      </c>
      <c r="R1952" s="206">
        <v>2</v>
      </c>
    </row>
    <row r="1953" spans="17:18">
      <c r="Q1953" s="374">
        <f t="shared" si="71"/>
        <v>1.9159999999998998</v>
      </c>
      <c r="R1953" s="206">
        <v>2</v>
      </c>
    </row>
    <row r="1954" spans="17:18">
      <c r="Q1954" s="374">
        <f t="shared" si="71"/>
        <v>1.9169999999998997</v>
      </c>
      <c r="R1954" s="206">
        <v>2</v>
      </c>
    </row>
    <row r="1955" spans="17:18">
      <c r="Q1955" s="374">
        <f t="shared" si="71"/>
        <v>1.9179999999998996</v>
      </c>
      <c r="R1955" s="206">
        <v>2</v>
      </c>
    </row>
    <row r="1956" spans="17:18">
      <c r="Q1956" s="374">
        <f t="shared" si="71"/>
        <v>1.9189999999998995</v>
      </c>
      <c r="R1956" s="206">
        <v>2</v>
      </c>
    </row>
    <row r="1957" spans="17:18">
      <c r="Q1957" s="374">
        <f t="shared" si="71"/>
        <v>1.9199999999998993</v>
      </c>
      <c r="R1957" s="206">
        <v>2</v>
      </c>
    </row>
    <row r="1958" spans="17:18">
      <c r="Q1958" s="374">
        <f t="shared" si="71"/>
        <v>1.9209999999998992</v>
      </c>
      <c r="R1958" s="206">
        <v>2</v>
      </c>
    </row>
    <row r="1959" spans="17:18">
      <c r="Q1959" s="374">
        <f t="shared" ref="Q1959:Q2022" si="72">Q1958+0.001</f>
        <v>1.9219999999998991</v>
      </c>
      <c r="R1959" s="206">
        <v>2</v>
      </c>
    </row>
    <row r="1960" spans="17:18">
      <c r="Q1960" s="374">
        <f t="shared" si="72"/>
        <v>1.922999999999899</v>
      </c>
      <c r="R1960" s="206">
        <v>2</v>
      </c>
    </row>
    <row r="1961" spans="17:18">
      <c r="Q1961" s="374">
        <f t="shared" si="72"/>
        <v>1.9239999999998989</v>
      </c>
      <c r="R1961" s="206">
        <v>2</v>
      </c>
    </row>
    <row r="1962" spans="17:18">
      <c r="Q1962" s="374">
        <f t="shared" si="72"/>
        <v>1.9249999999998988</v>
      </c>
      <c r="R1962" s="206">
        <v>2</v>
      </c>
    </row>
    <row r="1963" spans="17:18">
      <c r="Q1963" s="374">
        <f t="shared" si="72"/>
        <v>1.9259999999998987</v>
      </c>
      <c r="R1963" s="206">
        <v>2</v>
      </c>
    </row>
    <row r="1964" spans="17:18">
      <c r="Q1964" s="374">
        <f t="shared" si="72"/>
        <v>1.9269999999998986</v>
      </c>
      <c r="R1964" s="206">
        <v>2</v>
      </c>
    </row>
    <row r="1965" spans="17:18">
      <c r="Q1965" s="374">
        <f t="shared" si="72"/>
        <v>1.9279999999998985</v>
      </c>
      <c r="R1965" s="206">
        <v>2</v>
      </c>
    </row>
    <row r="1966" spans="17:18">
      <c r="Q1966" s="374">
        <f t="shared" si="72"/>
        <v>1.9289999999998984</v>
      </c>
      <c r="R1966" s="206">
        <v>2</v>
      </c>
    </row>
    <row r="1967" spans="17:18">
      <c r="Q1967" s="374">
        <f t="shared" si="72"/>
        <v>1.9299999999998982</v>
      </c>
      <c r="R1967" s="206">
        <v>2</v>
      </c>
    </row>
    <row r="1968" spans="17:18">
      <c r="Q1968" s="374">
        <f t="shared" si="72"/>
        <v>1.9309999999998981</v>
      </c>
      <c r="R1968" s="206">
        <v>2</v>
      </c>
    </row>
    <row r="1969" spans="17:18">
      <c r="Q1969" s="374">
        <f t="shared" si="72"/>
        <v>1.931999999999898</v>
      </c>
      <c r="R1969" s="206">
        <v>2</v>
      </c>
    </row>
    <row r="1970" spans="17:18">
      <c r="Q1970" s="374">
        <f t="shared" si="72"/>
        <v>1.9329999999998979</v>
      </c>
      <c r="R1970" s="206">
        <v>2</v>
      </c>
    </row>
    <row r="1971" spans="17:18">
      <c r="Q1971" s="374">
        <f t="shared" si="72"/>
        <v>1.9339999999998978</v>
      </c>
      <c r="R1971" s="206">
        <v>2</v>
      </c>
    </row>
    <row r="1972" spans="17:18">
      <c r="Q1972" s="374">
        <f t="shared" si="72"/>
        <v>1.9349999999998977</v>
      </c>
      <c r="R1972" s="206">
        <v>2</v>
      </c>
    </row>
    <row r="1973" spans="17:18">
      <c r="Q1973" s="374">
        <f t="shared" si="72"/>
        <v>1.9359999999998976</v>
      </c>
      <c r="R1973" s="206">
        <v>2</v>
      </c>
    </row>
    <row r="1974" spans="17:18">
      <c r="Q1974" s="374">
        <f t="shared" si="72"/>
        <v>1.9369999999998975</v>
      </c>
      <c r="R1974" s="206">
        <v>2</v>
      </c>
    </row>
    <row r="1975" spans="17:18">
      <c r="Q1975" s="374">
        <f t="shared" si="72"/>
        <v>1.9379999999998974</v>
      </c>
      <c r="R1975" s="206">
        <v>2</v>
      </c>
    </row>
    <row r="1976" spans="17:18">
      <c r="Q1976" s="374">
        <f t="shared" si="72"/>
        <v>1.9389999999998973</v>
      </c>
      <c r="R1976" s="206">
        <v>2</v>
      </c>
    </row>
    <row r="1977" spans="17:18">
      <c r="Q1977" s="374">
        <f t="shared" si="72"/>
        <v>1.9399999999998971</v>
      </c>
      <c r="R1977" s="206">
        <v>2</v>
      </c>
    </row>
    <row r="1978" spans="17:18">
      <c r="Q1978" s="374">
        <f t="shared" si="72"/>
        <v>1.940999999999897</v>
      </c>
      <c r="R1978" s="206">
        <v>2</v>
      </c>
    </row>
    <row r="1979" spans="17:18">
      <c r="Q1979" s="374">
        <f t="shared" si="72"/>
        <v>1.9419999999998969</v>
      </c>
      <c r="R1979" s="206">
        <v>2</v>
      </c>
    </row>
    <row r="1980" spans="17:18">
      <c r="Q1980" s="374">
        <f t="shared" si="72"/>
        <v>1.9429999999998968</v>
      </c>
      <c r="R1980" s="206">
        <v>2</v>
      </c>
    </row>
    <row r="1981" spans="17:18">
      <c r="Q1981" s="374">
        <f t="shared" si="72"/>
        <v>1.9439999999998967</v>
      </c>
      <c r="R1981" s="206">
        <v>2</v>
      </c>
    </row>
    <row r="1982" spans="17:18">
      <c r="Q1982" s="374">
        <f t="shared" si="72"/>
        <v>1.9449999999998966</v>
      </c>
      <c r="R1982" s="206">
        <v>2</v>
      </c>
    </row>
    <row r="1983" spans="17:18">
      <c r="Q1983" s="374">
        <f t="shared" si="72"/>
        <v>1.9459999999998965</v>
      </c>
      <c r="R1983" s="206">
        <v>2</v>
      </c>
    </row>
    <row r="1984" spans="17:18">
      <c r="Q1984" s="374">
        <f t="shared" si="72"/>
        <v>1.9469999999998964</v>
      </c>
      <c r="R1984" s="206">
        <v>2</v>
      </c>
    </row>
    <row r="1985" spans="17:18">
      <c r="Q1985" s="374">
        <f t="shared" si="72"/>
        <v>1.9479999999998963</v>
      </c>
      <c r="R1985" s="206">
        <v>2</v>
      </c>
    </row>
    <row r="1986" spans="17:18">
      <c r="Q1986" s="374">
        <f t="shared" si="72"/>
        <v>1.9489999999998961</v>
      </c>
      <c r="R1986" s="206">
        <v>2</v>
      </c>
    </row>
    <row r="1987" spans="17:18">
      <c r="Q1987" s="374">
        <f t="shared" si="72"/>
        <v>1.949999999999896</v>
      </c>
      <c r="R1987" s="206">
        <v>2</v>
      </c>
    </row>
    <row r="1988" spans="17:18">
      <c r="Q1988" s="374">
        <f t="shared" si="72"/>
        <v>1.9509999999998959</v>
      </c>
      <c r="R1988" s="206">
        <v>2</v>
      </c>
    </row>
    <row r="1989" spans="17:18">
      <c r="Q1989" s="374">
        <f t="shared" si="72"/>
        <v>1.9519999999998958</v>
      </c>
      <c r="R1989" s="206">
        <v>2</v>
      </c>
    </row>
    <row r="1990" spans="17:18">
      <c r="Q1990" s="374">
        <f t="shared" si="72"/>
        <v>1.9529999999998957</v>
      </c>
      <c r="R1990" s="206">
        <v>2</v>
      </c>
    </row>
    <row r="1991" spans="17:18">
      <c r="Q1991" s="374">
        <f t="shared" si="72"/>
        <v>1.9539999999998956</v>
      </c>
      <c r="R1991" s="206">
        <v>2</v>
      </c>
    </row>
    <row r="1992" spans="17:18">
      <c r="Q1992" s="374">
        <f t="shared" si="72"/>
        <v>1.9549999999998955</v>
      </c>
      <c r="R1992" s="206">
        <v>2</v>
      </c>
    </row>
    <row r="1993" spans="17:18">
      <c r="Q1993" s="374">
        <f t="shared" si="72"/>
        <v>1.9559999999998954</v>
      </c>
      <c r="R1993" s="206">
        <v>2</v>
      </c>
    </row>
    <row r="1994" spans="17:18">
      <c r="Q1994" s="374">
        <f t="shared" si="72"/>
        <v>1.9569999999998953</v>
      </c>
      <c r="R1994" s="206">
        <v>2</v>
      </c>
    </row>
    <row r="1995" spans="17:18">
      <c r="Q1995" s="374">
        <f t="shared" si="72"/>
        <v>1.9579999999998952</v>
      </c>
      <c r="R1995" s="206">
        <v>2</v>
      </c>
    </row>
    <row r="1996" spans="17:18">
      <c r="Q1996" s="374">
        <f t="shared" si="72"/>
        <v>1.958999999999895</v>
      </c>
      <c r="R1996" s="206">
        <v>2</v>
      </c>
    </row>
    <row r="1997" spans="17:18">
      <c r="Q1997" s="374">
        <f t="shared" si="72"/>
        <v>1.9599999999998949</v>
      </c>
      <c r="R1997" s="206">
        <v>2</v>
      </c>
    </row>
    <row r="1998" spans="17:18">
      <c r="Q1998" s="374">
        <f t="shared" si="72"/>
        <v>1.9609999999998948</v>
      </c>
      <c r="R1998" s="206">
        <v>2</v>
      </c>
    </row>
    <row r="1999" spans="17:18">
      <c r="Q1999" s="374">
        <f t="shared" si="72"/>
        <v>1.9619999999998947</v>
      </c>
      <c r="R1999" s="206">
        <v>2</v>
      </c>
    </row>
    <row r="2000" spans="17:18">
      <c r="Q2000" s="374">
        <f t="shared" si="72"/>
        <v>1.9629999999998946</v>
      </c>
      <c r="R2000" s="206">
        <v>2</v>
      </c>
    </row>
    <row r="2001" spans="17:18">
      <c r="Q2001" s="374">
        <f t="shared" si="72"/>
        <v>1.9639999999998945</v>
      </c>
      <c r="R2001" s="206">
        <v>2</v>
      </c>
    </row>
    <row r="2002" spans="17:18">
      <c r="Q2002" s="374">
        <f t="shared" si="72"/>
        <v>1.9649999999998944</v>
      </c>
      <c r="R2002" s="206">
        <v>2</v>
      </c>
    </row>
    <row r="2003" spans="17:18">
      <c r="Q2003" s="374">
        <f t="shared" si="72"/>
        <v>1.9659999999998943</v>
      </c>
      <c r="R2003" s="206">
        <v>2</v>
      </c>
    </row>
    <row r="2004" spans="17:18">
      <c r="Q2004" s="374">
        <f t="shared" si="72"/>
        <v>1.9669999999998942</v>
      </c>
      <c r="R2004" s="206">
        <v>2</v>
      </c>
    </row>
    <row r="2005" spans="17:18">
      <c r="Q2005" s="374">
        <f t="shared" si="72"/>
        <v>1.9679999999998941</v>
      </c>
      <c r="R2005" s="206">
        <v>2</v>
      </c>
    </row>
    <row r="2006" spans="17:18">
      <c r="Q2006" s="374">
        <f t="shared" si="72"/>
        <v>1.9689999999998939</v>
      </c>
      <c r="R2006" s="206">
        <v>2</v>
      </c>
    </row>
    <row r="2007" spans="17:18">
      <c r="Q2007" s="374">
        <f t="shared" si="72"/>
        <v>1.9699999999998938</v>
      </c>
      <c r="R2007" s="206">
        <v>2</v>
      </c>
    </row>
    <row r="2008" spans="17:18">
      <c r="Q2008" s="374">
        <f t="shared" si="72"/>
        <v>1.9709999999998937</v>
      </c>
      <c r="R2008" s="206">
        <v>2</v>
      </c>
    </row>
    <row r="2009" spans="17:18">
      <c r="Q2009" s="374">
        <f t="shared" si="72"/>
        <v>1.9719999999998936</v>
      </c>
      <c r="R2009" s="206">
        <v>2</v>
      </c>
    </row>
    <row r="2010" spans="17:18">
      <c r="Q2010" s="374">
        <f t="shared" si="72"/>
        <v>1.9729999999998935</v>
      </c>
      <c r="R2010" s="206">
        <v>2</v>
      </c>
    </row>
    <row r="2011" spans="17:18">
      <c r="Q2011" s="374">
        <f t="shared" si="72"/>
        <v>1.9739999999998934</v>
      </c>
      <c r="R2011" s="206">
        <v>2</v>
      </c>
    </row>
    <row r="2012" spans="17:18">
      <c r="Q2012" s="374">
        <f t="shared" si="72"/>
        <v>1.9749999999998933</v>
      </c>
      <c r="R2012" s="206">
        <v>2</v>
      </c>
    </row>
    <row r="2013" spans="17:18">
      <c r="Q2013" s="374">
        <f t="shared" si="72"/>
        <v>1.9759999999998932</v>
      </c>
      <c r="R2013" s="206">
        <v>2</v>
      </c>
    </row>
    <row r="2014" spans="17:18">
      <c r="Q2014" s="374">
        <f t="shared" si="72"/>
        <v>1.9769999999998931</v>
      </c>
      <c r="R2014" s="206">
        <v>2</v>
      </c>
    </row>
    <row r="2015" spans="17:18">
      <c r="Q2015" s="374">
        <f t="shared" si="72"/>
        <v>1.977999999999893</v>
      </c>
      <c r="R2015" s="206">
        <v>2</v>
      </c>
    </row>
    <row r="2016" spans="17:18">
      <c r="Q2016" s="374">
        <f t="shared" si="72"/>
        <v>1.9789999999998928</v>
      </c>
      <c r="R2016" s="206">
        <v>2</v>
      </c>
    </row>
    <row r="2017" spans="17:18">
      <c r="Q2017" s="374">
        <f t="shared" si="72"/>
        <v>1.9799999999998927</v>
      </c>
      <c r="R2017" s="206">
        <v>2</v>
      </c>
    </row>
    <row r="2018" spans="17:18">
      <c r="Q2018" s="374">
        <f t="shared" si="72"/>
        <v>1.9809999999998926</v>
      </c>
      <c r="R2018" s="206">
        <v>2</v>
      </c>
    </row>
    <row r="2019" spans="17:18">
      <c r="Q2019" s="374">
        <f t="shared" si="72"/>
        <v>1.9819999999998925</v>
      </c>
      <c r="R2019" s="206">
        <v>2</v>
      </c>
    </row>
    <row r="2020" spans="17:18">
      <c r="Q2020" s="374">
        <f t="shared" si="72"/>
        <v>1.9829999999998924</v>
      </c>
      <c r="R2020" s="206">
        <v>2</v>
      </c>
    </row>
    <row r="2021" spans="17:18">
      <c r="Q2021" s="374">
        <f t="shared" si="72"/>
        <v>1.9839999999998923</v>
      </c>
      <c r="R2021" s="206">
        <v>2</v>
      </c>
    </row>
    <row r="2022" spans="17:18">
      <c r="Q2022" s="374">
        <f t="shared" si="72"/>
        <v>1.9849999999998922</v>
      </c>
      <c r="R2022" s="206">
        <v>2</v>
      </c>
    </row>
    <row r="2023" spans="17:18">
      <c r="Q2023" s="374">
        <f t="shared" ref="Q2023:Q2037" si="73">Q2022+0.001</f>
        <v>1.9859999999998921</v>
      </c>
      <c r="R2023" s="206">
        <v>2</v>
      </c>
    </row>
    <row r="2024" spans="17:18">
      <c r="Q2024" s="374">
        <f t="shared" si="73"/>
        <v>1.986999999999892</v>
      </c>
      <c r="R2024" s="206">
        <v>2</v>
      </c>
    </row>
    <row r="2025" spans="17:18">
      <c r="Q2025" s="374">
        <f t="shared" si="73"/>
        <v>1.9879999999998919</v>
      </c>
      <c r="R2025" s="206">
        <v>2</v>
      </c>
    </row>
    <row r="2026" spans="17:18">
      <c r="Q2026" s="374">
        <f t="shared" si="73"/>
        <v>1.9889999999998917</v>
      </c>
      <c r="R2026" s="206">
        <v>2</v>
      </c>
    </row>
    <row r="2027" spans="17:18">
      <c r="Q2027" s="374">
        <f t="shared" si="73"/>
        <v>1.9899999999998916</v>
      </c>
      <c r="R2027" s="206">
        <v>2</v>
      </c>
    </row>
    <row r="2028" spans="17:18">
      <c r="Q2028" s="374">
        <f t="shared" si="73"/>
        <v>1.9909999999998915</v>
      </c>
      <c r="R2028" s="206">
        <v>2</v>
      </c>
    </row>
    <row r="2029" spans="17:18">
      <c r="Q2029" s="374">
        <f t="shared" si="73"/>
        <v>1.9919999999998914</v>
      </c>
      <c r="R2029" s="206">
        <v>2</v>
      </c>
    </row>
    <row r="2030" spans="17:18">
      <c r="Q2030" s="374">
        <f t="shared" si="73"/>
        <v>1.9929999999998913</v>
      </c>
      <c r="R2030" s="206">
        <v>2</v>
      </c>
    </row>
    <row r="2031" spans="17:18">
      <c r="Q2031" s="374">
        <f t="shared" si="73"/>
        <v>1.9939999999998912</v>
      </c>
      <c r="R2031" s="206">
        <v>2</v>
      </c>
    </row>
    <row r="2032" spans="17:18">
      <c r="Q2032" s="374">
        <f t="shared" si="73"/>
        <v>1.9949999999998911</v>
      </c>
      <c r="R2032" s="206">
        <v>2</v>
      </c>
    </row>
    <row r="2033" spans="17:18">
      <c r="Q2033" s="374">
        <f t="shared" si="73"/>
        <v>1.995999999999891</v>
      </c>
      <c r="R2033" s="206">
        <v>2</v>
      </c>
    </row>
    <row r="2034" spans="17:18">
      <c r="Q2034" s="374">
        <f t="shared" si="73"/>
        <v>1.9969999999998909</v>
      </c>
      <c r="R2034" s="206">
        <v>2</v>
      </c>
    </row>
    <row r="2035" spans="17:18">
      <c r="Q2035" s="374">
        <f t="shared" si="73"/>
        <v>1.9979999999998908</v>
      </c>
      <c r="R2035" s="206">
        <v>2</v>
      </c>
    </row>
    <row r="2036" spans="17:18">
      <c r="Q2036" s="374">
        <f t="shared" si="73"/>
        <v>1.9989999999998906</v>
      </c>
      <c r="R2036" s="206">
        <v>2</v>
      </c>
    </row>
    <row r="2037" spans="17:18">
      <c r="Q2037" s="374">
        <f t="shared" si="73"/>
        <v>1.9999999999998905</v>
      </c>
      <c r="R2037" s="206">
        <v>2</v>
      </c>
    </row>
    <row r="2038" spans="17:18">
      <c r="Q2038" s="214"/>
    </row>
    <row r="2039" spans="17:18">
      <c r="Q2039" s="214"/>
    </row>
    <row r="2040" spans="17:18">
      <c r="Q2040" s="214"/>
    </row>
    <row r="2041" spans="17:18">
      <c r="Q2041" s="214"/>
    </row>
    <row r="2042" spans="17:18">
      <c r="Q2042" s="214"/>
    </row>
    <row r="2043" spans="17:18">
      <c r="Q2043" s="214"/>
    </row>
    <row r="2044" spans="17:18">
      <c r="Q2044" s="214"/>
    </row>
    <row r="2045" spans="17:18">
      <c r="Q2045" s="214"/>
    </row>
    <row r="2046" spans="17:18">
      <c r="Q2046" s="214"/>
    </row>
    <row r="2047" spans="17:18">
      <c r="Q2047" s="214"/>
    </row>
    <row r="2048" spans="17:18">
      <c r="Q2048" s="214"/>
    </row>
    <row r="2049" spans="17:17">
      <c r="Q2049" s="214"/>
    </row>
    <row r="2050" spans="17:17">
      <c r="Q2050" s="214"/>
    </row>
    <row r="2051" spans="17:17">
      <c r="Q2051" s="214"/>
    </row>
    <row r="2052" spans="17:17">
      <c r="Q2052" s="214"/>
    </row>
    <row r="2053" spans="17:17">
      <c r="Q2053" s="214"/>
    </row>
    <row r="2054" spans="17:17">
      <c r="Q2054" s="214"/>
    </row>
    <row r="2055" spans="17:17">
      <c r="Q2055" s="214"/>
    </row>
    <row r="2056" spans="17:17">
      <c r="Q2056" s="214"/>
    </row>
    <row r="2057" spans="17:17">
      <c r="Q2057" s="214"/>
    </row>
    <row r="2058" spans="17:17">
      <c r="Q2058" s="214"/>
    </row>
    <row r="2059" spans="17:17">
      <c r="Q2059" s="214"/>
    </row>
    <row r="2060" spans="17:17">
      <c r="Q2060" s="214"/>
    </row>
    <row r="2061" spans="17:17">
      <c r="Q2061" s="214"/>
    </row>
    <row r="2062" spans="17:17">
      <c r="Q2062" s="214"/>
    </row>
    <row r="2063" spans="17:17">
      <c r="Q2063" s="214"/>
    </row>
    <row r="2064" spans="17:17">
      <c r="Q2064" s="214"/>
    </row>
    <row r="2065" spans="17:17">
      <c r="Q2065" s="214"/>
    </row>
    <row r="2066" spans="17:17">
      <c r="Q2066" s="214"/>
    </row>
    <row r="2067" spans="17:17">
      <c r="Q2067" s="214"/>
    </row>
    <row r="2068" spans="17:17">
      <c r="Q2068" s="214"/>
    </row>
    <row r="2069" spans="17:17">
      <c r="Q2069" s="214"/>
    </row>
    <row r="2070" spans="17:17">
      <c r="Q2070" s="214"/>
    </row>
    <row r="2071" spans="17:17">
      <c r="Q2071" s="214"/>
    </row>
    <row r="2072" spans="17:17">
      <c r="Q2072" s="214"/>
    </row>
    <row r="2073" spans="17:17">
      <c r="Q2073" s="214"/>
    </row>
    <row r="2074" spans="17:17">
      <c r="Q2074" s="214"/>
    </row>
    <row r="2075" spans="17:17">
      <c r="Q2075" s="214"/>
    </row>
    <row r="2076" spans="17:17">
      <c r="Q2076" s="214"/>
    </row>
    <row r="2077" spans="17:17">
      <c r="Q2077" s="214"/>
    </row>
    <row r="2078" spans="17:17">
      <c r="Q2078" s="214"/>
    </row>
    <row r="2079" spans="17:17">
      <c r="Q2079" s="214"/>
    </row>
    <row r="2080" spans="17:17">
      <c r="Q2080" s="214"/>
    </row>
    <row r="2081" spans="17:17">
      <c r="Q2081" s="214"/>
    </row>
    <row r="2082" spans="17:17">
      <c r="Q2082" s="214"/>
    </row>
    <row r="2083" spans="17:17">
      <c r="Q2083" s="214"/>
    </row>
    <row r="2084" spans="17:17">
      <c r="Q2084" s="214"/>
    </row>
    <row r="2085" spans="17:17">
      <c r="Q2085" s="214"/>
    </row>
    <row r="2086" spans="17:17">
      <c r="Q2086" s="214"/>
    </row>
    <row r="2087" spans="17:17">
      <c r="Q2087" s="214"/>
    </row>
    <row r="2088" spans="17:17">
      <c r="Q2088" s="214"/>
    </row>
    <row r="2089" spans="17:17">
      <c r="Q2089" s="214"/>
    </row>
    <row r="2090" spans="17:17">
      <c r="Q2090" s="214"/>
    </row>
    <row r="2091" spans="17:17">
      <c r="Q2091" s="214"/>
    </row>
    <row r="2092" spans="17:17">
      <c r="Q2092" s="214"/>
    </row>
    <row r="2093" spans="17:17">
      <c r="Q2093" s="214"/>
    </row>
    <row r="2094" spans="17:17">
      <c r="Q2094" s="214"/>
    </row>
    <row r="2095" spans="17:17">
      <c r="Q2095" s="214"/>
    </row>
    <row r="2096" spans="17:17">
      <c r="Q2096" s="214"/>
    </row>
    <row r="2097" spans="17:17">
      <c r="Q2097" s="214"/>
    </row>
    <row r="2098" spans="17:17">
      <c r="Q2098" s="214"/>
    </row>
    <row r="2099" spans="17:17">
      <c r="Q2099" s="214"/>
    </row>
    <row r="2100" spans="17:17">
      <c r="Q2100" s="214"/>
    </row>
    <row r="2101" spans="17:17">
      <c r="Q2101" s="214"/>
    </row>
    <row r="2102" spans="17:17">
      <c r="Q2102" s="214"/>
    </row>
    <row r="2103" spans="17:17">
      <c r="Q2103" s="214"/>
    </row>
    <row r="2104" spans="17:17">
      <c r="Q2104" s="214"/>
    </row>
    <row r="2105" spans="17:17">
      <c r="Q2105" s="214"/>
    </row>
    <row r="2106" spans="17:17">
      <c r="Q2106" s="214"/>
    </row>
    <row r="2107" spans="17:17">
      <c r="Q2107" s="214"/>
    </row>
    <row r="2108" spans="17:17">
      <c r="Q2108" s="214"/>
    </row>
    <row r="2109" spans="17:17">
      <c r="Q2109" s="214"/>
    </row>
    <row r="2110" spans="17:17">
      <c r="Q2110" s="214"/>
    </row>
    <row r="2111" spans="17:17">
      <c r="Q2111" s="214"/>
    </row>
    <row r="2112" spans="17:17">
      <c r="Q2112" s="214"/>
    </row>
    <row r="2113" spans="17:17">
      <c r="Q2113" s="214"/>
    </row>
    <row r="2114" spans="17:17">
      <c r="Q2114" s="214"/>
    </row>
    <row r="2115" spans="17:17">
      <c r="Q2115" s="214"/>
    </row>
    <row r="2116" spans="17:17">
      <c r="Q2116" s="214"/>
    </row>
    <row r="2117" spans="17:17">
      <c r="Q2117" s="214"/>
    </row>
    <row r="2118" spans="17:17">
      <c r="Q2118" s="214"/>
    </row>
    <row r="2119" spans="17:17">
      <c r="Q2119" s="214"/>
    </row>
    <row r="2120" spans="17:17">
      <c r="Q2120" s="214"/>
    </row>
    <row r="2121" spans="17:17">
      <c r="Q2121" s="214"/>
    </row>
    <row r="2122" spans="17:17">
      <c r="Q2122" s="214"/>
    </row>
    <row r="2123" spans="17:17">
      <c r="Q2123" s="214"/>
    </row>
    <row r="2124" spans="17:17">
      <c r="Q2124" s="214"/>
    </row>
    <row r="2125" spans="17:17">
      <c r="Q2125" s="214"/>
    </row>
    <row r="2126" spans="17:17">
      <c r="Q2126" s="214"/>
    </row>
    <row r="2127" spans="17:17">
      <c r="Q2127" s="214"/>
    </row>
    <row r="2128" spans="17:17">
      <c r="Q2128" s="214"/>
    </row>
    <row r="2129" spans="17:17">
      <c r="Q2129" s="214"/>
    </row>
    <row r="2130" spans="17:17">
      <c r="Q2130" s="214"/>
    </row>
    <row r="2131" spans="17:17">
      <c r="Q2131" s="214"/>
    </row>
    <row r="2132" spans="17:17">
      <c r="Q2132" s="214"/>
    </row>
    <row r="2133" spans="17:17">
      <c r="Q2133" s="214"/>
    </row>
    <row r="2134" spans="17:17">
      <c r="Q2134" s="214"/>
    </row>
    <row r="2135" spans="17:17">
      <c r="Q2135" s="214"/>
    </row>
    <row r="2136" spans="17:17">
      <c r="Q2136" s="214"/>
    </row>
    <row r="2137" spans="17:17">
      <c r="Q2137" s="214"/>
    </row>
    <row r="2138" spans="17:17">
      <c r="Q2138" s="214"/>
    </row>
    <row r="2139" spans="17:17">
      <c r="Q2139" s="214"/>
    </row>
    <row r="2140" spans="17:17">
      <c r="Q2140" s="214"/>
    </row>
    <row r="2141" spans="17:17">
      <c r="Q2141" s="214"/>
    </row>
    <row r="2142" spans="17:17">
      <c r="Q2142" s="214"/>
    </row>
    <row r="2143" spans="17:17">
      <c r="Q2143" s="214"/>
    </row>
    <row r="2144" spans="17:17">
      <c r="Q2144" s="214"/>
    </row>
    <row r="2145" spans="17:17">
      <c r="Q2145" s="214"/>
    </row>
    <row r="2146" spans="17:17">
      <c r="Q2146" s="214"/>
    </row>
    <row r="2147" spans="17:17">
      <c r="Q2147" s="214"/>
    </row>
    <row r="2148" spans="17:17">
      <c r="Q2148" s="214"/>
    </row>
  </sheetData>
  <sheetProtection algorithmName="SHA-512" hashValue="jQ1aU+X1w2z9rNutnUu3lIihqBg5jCqF3stqhGtK+s/1wx3WDr9Mbo/mTwii0E1corOs5/ntOglNyiCP32/sTA==" saltValue="zVckKuYCAl3qbabQI3Poxg==" spinCount="100000" sheet="1" objects="1" scenarios="1" formatRows="0"/>
  <mergeCells count="30">
    <mergeCell ref="A1:J1"/>
    <mergeCell ref="K1:N1"/>
    <mergeCell ref="C2:D2"/>
    <mergeCell ref="E2:E5"/>
    <mergeCell ref="A3:A6"/>
    <mergeCell ref="G6:J6"/>
    <mergeCell ref="A7:F7"/>
    <mergeCell ref="A8:B8"/>
    <mergeCell ref="C8:D8"/>
    <mergeCell ref="E8:F8"/>
    <mergeCell ref="C14:F14"/>
    <mergeCell ref="G17:J18"/>
    <mergeCell ref="A20:M20"/>
    <mergeCell ref="A21:A22"/>
    <mergeCell ref="J21:L21"/>
    <mergeCell ref="N21:P21"/>
    <mergeCell ref="H127:P133"/>
    <mergeCell ref="H141:P147"/>
    <mergeCell ref="A160:A161"/>
    <mergeCell ref="R21:S21"/>
    <mergeCell ref="T21:U21"/>
    <mergeCell ref="A35:A36"/>
    <mergeCell ref="J35:L35"/>
    <mergeCell ref="A58:B58"/>
    <mergeCell ref="A225:A226"/>
    <mergeCell ref="E259:F259"/>
    <mergeCell ref="C282:D282"/>
    <mergeCell ref="A290:A292"/>
    <mergeCell ref="A92:B92"/>
    <mergeCell ref="A112:B112"/>
  </mergeCells>
  <dataValidations disablePrompts="1" count="3">
    <dataValidation type="list" allowBlank="1" showInputMessage="1" showErrorMessage="1" sqref="C14" xr:uid="{00000000-0002-0000-0C00-000000000000}">
      <formula1>$F$3:$F$5</formula1>
      <formula2>0</formula2>
    </dataValidation>
    <dataValidation type="list" allowBlank="1" showInputMessage="1" showErrorMessage="1" sqref="H51" xr:uid="{00000000-0002-0000-0C00-000001000000}">
      <formula1>$N$4:$N$16</formula1>
      <formula2>0</formula2>
    </dataValidation>
    <dataValidation type="list" allowBlank="1" showInputMessage="1" showErrorMessage="1" sqref="H53" xr:uid="{00000000-0002-0000-0C00-000002000000}">
      <formula1>$N$2:$N$16</formula1>
      <formula2>0</formula2>
    </dataValidation>
  </dataValidations>
  <pageMargins left="0.7" right="0.7" top="0.75" bottom="0.75" header="0.51180555555555496" footer="0.51180555555555496"/>
  <pageSetup firstPageNumber="0" orientation="portrait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0">
    <tabColor theme="4" tint="-0.249977111117893"/>
  </sheetPr>
  <dimension ref="A1:AMK2234"/>
  <sheetViews>
    <sheetView showGridLines="0" showRowColHeaders="0" topLeftCell="A42" zoomScaleNormal="100" workbookViewId="0">
      <selection activeCell="O42" sqref="O42"/>
    </sheetView>
  </sheetViews>
  <sheetFormatPr baseColWidth="10" defaultColWidth="9.140625" defaultRowHeight="15"/>
  <cols>
    <col min="1" max="1" width="8.7109375" style="159" customWidth="1"/>
    <col min="2" max="2" width="16" style="159" customWidth="1"/>
    <col min="3" max="3" width="16.7109375" style="159" customWidth="1"/>
    <col min="4" max="4" width="10.140625" style="159" customWidth="1"/>
    <col min="5" max="5" width="15.42578125" style="159" customWidth="1"/>
    <col min="6" max="6" width="12.85546875" style="159" customWidth="1"/>
    <col min="7" max="7" width="12.42578125" style="159" customWidth="1"/>
    <col min="8" max="9" width="11.42578125" style="159"/>
    <col min="10" max="11" width="12.85546875" style="159" customWidth="1"/>
    <col min="12" max="12" width="9.140625" style="159" customWidth="1"/>
    <col min="13" max="13" width="10.28515625" style="159" customWidth="1"/>
    <col min="14" max="14" width="9.7109375" style="159" customWidth="1"/>
    <col min="15" max="15" width="10.42578125" style="159" customWidth="1"/>
    <col min="16" max="16" width="12.28515625" style="159" customWidth="1"/>
    <col min="17" max="18" width="12.85546875" style="159" customWidth="1"/>
    <col min="19" max="1025" width="11.42578125" style="159"/>
  </cols>
  <sheetData>
    <row r="1" spans="1:18" ht="39.75" customHeight="1">
      <c r="A1" s="869" t="s">
        <v>1099</v>
      </c>
      <c r="B1" s="869"/>
      <c r="C1" s="869"/>
      <c r="D1" s="869"/>
      <c r="E1" s="869"/>
      <c r="F1" s="869"/>
      <c r="G1" s="869"/>
      <c r="H1" s="869"/>
      <c r="I1" s="869"/>
      <c r="J1" s="869"/>
      <c r="K1" s="870" t="s">
        <v>1004</v>
      </c>
      <c r="L1" s="870"/>
      <c r="M1" s="870"/>
      <c r="N1" s="870"/>
      <c r="O1" s="160" t="s">
        <v>1005</v>
      </c>
      <c r="P1" s="161" t="s">
        <v>1006</v>
      </c>
      <c r="Q1" s="162"/>
      <c r="R1" s="162"/>
    </row>
    <row r="2" spans="1:18" ht="14.25" customHeight="1">
      <c r="A2" s="163"/>
      <c r="B2" s="164"/>
      <c r="C2" s="871" t="s">
        <v>1007</v>
      </c>
      <c r="D2" s="871"/>
      <c r="E2" s="872" t="s">
        <v>1008</v>
      </c>
      <c r="F2" s="166"/>
      <c r="G2" s="167" t="s">
        <v>1009</v>
      </c>
      <c r="H2" s="167" t="s">
        <v>1010</v>
      </c>
      <c r="I2" s="167" t="s">
        <v>1011</v>
      </c>
      <c r="J2" s="167" t="s">
        <v>1012</v>
      </c>
      <c r="K2" s="168"/>
      <c r="L2" s="168">
        <v>0</v>
      </c>
      <c r="M2" s="168">
        <v>8</v>
      </c>
      <c r="N2" s="169">
        <f t="shared" ref="N2:N11" si="0">L2/M2</f>
        <v>0</v>
      </c>
      <c r="O2" s="170">
        <v>0</v>
      </c>
      <c r="P2" s="171">
        <v>0</v>
      </c>
      <c r="Q2" s="162"/>
      <c r="R2" s="162"/>
    </row>
    <row r="3" spans="1:18">
      <c r="A3" s="873" t="s">
        <v>31</v>
      </c>
      <c r="B3" s="172" t="s">
        <v>1013</v>
      </c>
      <c r="C3" s="173">
        <f>E9^2*3.1416*E10/4</f>
        <v>5850.1173499792922</v>
      </c>
      <c r="D3" s="174" t="s">
        <v>1014</v>
      </c>
      <c r="E3" s="872"/>
      <c r="F3" s="175" t="s">
        <v>1015</v>
      </c>
      <c r="G3" s="176">
        <v>137</v>
      </c>
      <c r="H3" s="176">
        <v>20000</v>
      </c>
      <c r="I3" s="176">
        <v>154</v>
      </c>
      <c r="J3" s="176">
        <v>22500</v>
      </c>
      <c r="K3" s="168"/>
      <c r="L3" s="168">
        <v>3</v>
      </c>
      <c r="M3" s="168">
        <v>16</v>
      </c>
      <c r="N3" s="169">
        <f t="shared" si="0"/>
        <v>0.1875</v>
      </c>
      <c r="O3" s="170">
        <v>415</v>
      </c>
      <c r="P3" s="171">
        <v>555.73</v>
      </c>
      <c r="Q3" s="162"/>
      <c r="R3" s="162"/>
    </row>
    <row r="4" spans="1:18">
      <c r="A4" s="873"/>
      <c r="B4" s="172" t="s">
        <v>1016</v>
      </c>
      <c r="C4" s="173">
        <f>C3/0.13368</f>
        <v>43762.098668307095</v>
      </c>
      <c r="D4" s="177" t="s">
        <v>1016</v>
      </c>
      <c r="E4" s="872"/>
      <c r="F4" s="175" t="s">
        <v>1017</v>
      </c>
      <c r="G4" s="176">
        <v>173</v>
      </c>
      <c r="H4" s="176">
        <v>25300</v>
      </c>
      <c r="I4" s="176">
        <v>195</v>
      </c>
      <c r="J4" s="176">
        <v>28500</v>
      </c>
      <c r="K4" s="168"/>
      <c r="L4" s="168">
        <v>1</v>
      </c>
      <c r="M4" s="168">
        <v>4</v>
      </c>
      <c r="N4" s="169">
        <f t="shared" si="0"/>
        <v>0.25</v>
      </c>
      <c r="O4" s="170">
        <v>555.73</v>
      </c>
      <c r="P4" s="171">
        <v>740.97</v>
      </c>
      <c r="Q4" s="162"/>
      <c r="R4" s="162"/>
    </row>
    <row r="5" spans="1:18" ht="15.75">
      <c r="A5" s="873"/>
      <c r="B5" s="172" t="s">
        <v>32</v>
      </c>
      <c r="C5" s="178">
        <f>C4/42</f>
        <v>1041.954730197788</v>
      </c>
      <c r="D5" s="179" t="s">
        <v>32</v>
      </c>
      <c r="E5" s="872"/>
      <c r="F5" s="180" t="s">
        <v>792</v>
      </c>
      <c r="G5" s="181">
        <v>160</v>
      </c>
      <c r="H5" s="181">
        <v>23200</v>
      </c>
      <c r="I5" s="181">
        <v>171</v>
      </c>
      <c r="J5" s="181">
        <v>24900</v>
      </c>
      <c r="K5" s="168"/>
      <c r="L5" s="168">
        <v>5</v>
      </c>
      <c r="M5" s="168">
        <v>16</v>
      </c>
      <c r="N5" s="169">
        <f t="shared" si="0"/>
        <v>0.3125</v>
      </c>
      <c r="O5" s="170">
        <v>694.88</v>
      </c>
      <c r="P5" s="171">
        <v>926.5</v>
      </c>
      <c r="Q5" s="162"/>
      <c r="R5" s="162"/>
    </row>
    <row r="6" spans="1:18">
      <c r="A6" s="873"/>
      <c r="B6" s="172" t="s">
        <v>1019</v>
      </c>
      <c r="C6" s="182">
        <f>C5*159/1000</f>
        <v>165.67080210144829</v>
      </c>
      <c r="D6" s="183" t="s">
        <v>1020</v>
      </c>
      <c r="E6" s="184"/>
      <c r="F6"/>
      <c r="G6" s="874" t="s">
        <v>1021</v>
      </c>
      <c r="H6" s="874"/>
      <c r="I6" s="874"/>
      <c r="J6" s="874"/>
      <c r="K6" s="185"/>
      <c r="L6" s="168">
        <v>3</v>
      </c>
      <c r="M6" s="168">
        <v>8</v>
      </c>
      <c r="N6" s="169">
        <f t="shared" si="0"/>
        <v>0.375</v>
      </c>
      <c r="O6" s="170">
        <v>833.15</v>
      </c>
      <c r="P6" s="171">
        <v>1110.8699999999999</v>
      </c>
      <c r="Q6" s="162"/>
      <c r="R6" s="162"/>
    </row>
    <row r="7" spans="1:18">
      <c r="A7" s="864" t="s">
        <v>1022</v>
      </c>
      <c r="B7" s="864"/>
      <c r="C7" s="864"/>
      <c r="D7" s="864"/>
      <c r="E7" s="864"/>
      <c r="F7" s="864"/>
      <c r="G7" s="186"/>
      <c r="H7" s="187"/>
      <c r="I7" s="187"/>
      <c r="J7" s="188"/>
      <c r="K7" s="185"/>
      <c r="L7" s="168">
        <v>1</v>
      </c>
      <c r="M7" s="168">
        <v>2</v>
      </c>
      <c r="N7" s="169">
        <f t="shared" si="0"/>
        <v>0.5</v>
      </c>
      <c r="O7" s="170">
        <v>1111.45</v>
      </c>
      <c r="P7" s="171">
        <v>1481.94</v>
      </c>
      <c r="Q7" s="162"/>
      <c r="R7" s="162"/>
    </row>
    <row r="8" spans="1:18">
      <c r="A8" s="880" t="s">
        <v>1023</v>
      </c>
      <c r="B8" s="880"/>
      <c r="C8" s="881" t="s">
        <v>1024</v>
      </c>
      <c r="D8" s="881"/>
      <c r="E8" s="882" t="s">
        <v>1025</v>
      </c>
      <c r="F8" s="882"/>
      <c r="G8" s="189"/>
      <c r="J8" s="190"/>
      <c r="K8" s="185"/>
      <c r="L8" s="168">
        <v>5</v>
      </c>
      <c r="M8" s="168">
        <v>8</v>
      </c>
      <c r="N8" s="169">
        <f t="shared" si="0"/>
        <v>0.625</v>
      </c>
      <c r="O8" s="170">
        <v>1388.88</v>
      </c>
      <c r="P8" s="171">
        <v>1851.84</v>
      </c>
      <c r="Q8" s="162"/>
      <c r="R8" s="162"/>
    </row>
    <row r="9" spans="1:18">
      <c r="A9" s="191" t="s">
        <v>1026</v>
      </c>
      <c r="B9" s="172" t="s">
        <v>1027</v>
      </c>
      <c r="C9" s="192">
        <f>E9*0.3048</f>
        <v>5.7403999999898403</v>
      </c>
      <c r="D9" s="159" t="s">
        <v>1028</v>
      </c>
      <c r="E9" s="193">
        <f>+VLOOKUP(Capacidad,Factores!B3:D24,3,1)</f>
        <v>18.833333333300001</v>
      </c>
      <c r="F9" s="194" t="s">
        <v>1029</v>
      </c>
      <c r="G9" s="189"/>
      <c r="J9" s="190"/>
      <c r="K9" s="185"/>
      <c r="L9" s="168">
        <v>3</v>
      </c>
      <c r="M9" s="168">
        <v>4</v>
      </c>
      <c r="N9" s="169">
        <f t="shared" si="0"/>
        <v>0.75</v>
      </c>
      <c r="O9" s="170">
        <v>1667.18</v>
      </c>
      <c r="P9" s="171">
        <v>2222.19</v>
      </c>
      <c r="Q9" s="162"/>
      <c r="R9" s="162"/>
    </row>
    <row r="10" spans="1:18">
      <c r="A10" s="191" t="s">
        <v>1030</v>
      </c>
      <c r="B10" s="172" t="s">
        <v>1031</v>
      </c>
      <c r="C10" s="170">
        <f>E10*0.3048</f>
        <v>6.4008000000000003</v>
      </c>
      <c r="D10" s="195" t="s">
        <v>1028</v>
      </c>
      <c r="E10" s="196">
        <f>+VLOOKUP(Capacidad,Factores!B3:D24,2,1)</f>
        <v>21</v>
      </c>
      <c r="F10" s="197" t="s">
        <v>1029</v>
      </c>
      <c r="G10" s="189"/>
      <c r="H10" s="198"/>
      <c r="I10" s="199"/>
      <c r="J10" s="190"/>
      <c r="K10" s="185"/>
      <c r="L10" s="168">
        <v>7</v>
      </c>
      <c r="M10" s="168">
        <v>8</v>
      </c>
      <c r="N10" s="169">
        <f t="shared" si="0"/>
        <v>0.875</v>
      </c>
      <c r="O10" s="170">
        <v>1944.61</v>
      </c>
      <c r="P10" s="171">
        <v>2592.81</v>
      </c>
      <c r="Q10" s="162"/>
      <c r="R10" s="162"/>
    </row>
    <row r="11" spans="1:18" ht="39">
      <c r="A11" s="200" t="s">
        <v>1032</v>
      </c>
      <c r="B11" s="201" t="s">
        <v>1033</v>
      </c>
      <c r="C11" s="202">
        <v>1</v>
      </c>
      <c r="E11" s="202">
        <v>1</v>
      </c>
      <c r="G11" s="189"/>
      <c r="H11" s="203"/>
      <c r="I11" s="204"/>
      <c r="J11" s="205">
        <f>+C10</f>
        <v>6.4008000000000003</v>
      </c>
      <c r="K11" s="185"/>
      <c r="L11" s="168">
        <v>1</v>
      </c>
      <c r="M11" s="168">
        <v>1</v>
      </c>
      <c r="N11" s="169">
        <f t="shared" si="0"/>
        <v>1</v>
      </c>
      <c r="O11" s="170">
        <v>2222.91</v>
      </c>
      <c r="P11" s="171">
        <v>2263.88</v>
      </c>
      <c r="Q11" s="162"/>
      <c r="R11" s="162"/>
    </row>
    <row r="12" spans="1:18" ht="39">
      <c r="A12" s="200" t="s">
        <v>1034</v>
      </c>
      <c r="B12" s="201" t="s">
        <v>1035</v>
      </c>
      <c r="C12" s="173">
        <f>E12*25.4</f>
        <v>3.1749999999999998</v>
      </c>
      <c r="D12" s="195" t="s">
        <v>1036</v>
      </c>
      <c r="E12" s="206">
        <v>0.125</v>
      </c>
      <c r="F12" s="195" t="s">
        <v>1037</v>
      </c>
      <c r="G12" s="189"/>
      <c r="H12" s="207"/>
      <c r="I12" s="183"/>
      <c r="J12" s="208">
        <f>E10</f>
        <v>21</v>
      </c>
      <c r="K12" s="185">
        <v>1</v>
      </c>
      <c r="L12" s="168">
        <v>1</v>
      </c>
      <c r="M12" s="168">
        <v>8</v>
      </c>
      <c r="N12" s="169">
        <f>(L12/M12)+K12</f>
        <v>1.125</v>
      </c>
      <c r="O12" s="170">
        <v>2500.77</v>
      </c>
      <c r="P12" s="171">
        <v>3704.84</v>
      </c>
      <c r="Q12" s="162"/>
      <c r="R12" s="162"/>
    </row>
    <row r="13" spans="1:18" ht="26.25">
      <c r="A13" s="200" t="s">
        <v>1038</v>
      </c>
      <c r="B13" s="201" t="s">
        <v>1039</v>
      </c>
      <c r="C13" s="209">
        <f>E13*25.4</f>
        <v>1.5874999999999999</v>
      </c>
      <c r="D13" s="187" t="s">
        <v>1036</v>
      </c>
      <c r="E13" s="206">
        <v>6.25E-2</v>
      </c>
      <c r="F13" s="210" t="s">
        <v>1040</v>
      </c>
      <c r="G13" s="189"/>
      <c r="H13" s="211"/>
      <c r="I13" s="212"/>
      <c r="J13" s="190"/>
      <c r="K13" s="185">
        <v>1</v>
      </c>
      <c r="L13" s="168">
        <v>1</v>
      </c>
      <c r="M13" s="168">
        <v>4</v>
      </c>
      <c r="N13" s="169">
        <f>(L13/M13)+K13</f>
        <v>1.25</v>
      </c>
      <c r="O13" s="170">
        <v>2778.63</v>
      </c>
      <c r="P13" s="171">
        <v>3734.02</v>
      </c>
      <c r="Q13" s="162"/>
      <c r="R13" s="162"/>
    </row>
    <row r="14" spans="1:18">
      <c r="A14" s="191"/>
      <c r="B14" s="172" t="s">
        <v>1041</v>
      </c>
      <c r="C14" s="868" t="s">
        <v>1017</v>
      </c>
      <c r="D14" s="868"/>
      <c r="E14" s="868"/>
      <c r="F14" s="868"/>
      <c r="G14" s="189"/>
      <c r="H14" s="213">
        <f>E9</f>
        <v>18.833333333300001</v>
      </c>
      <c r="I14" s="214" t="s">
        <v>1029</v>
      </c>
      <c r="J14" s="190"/>
      <c r="K14" s="185">
        <v>1</v>
      </c>
      <c r="L14" s="168">
        <v>1</v>
      </c>
      <c r="M14" s="168">
        <v>2</v>
      </c>
      <c r="N14" s="169">
        <f>(L14/M14)+K14</f>
        <v>1.5</v>
      </c>
      <c r="O14" s="170">
        <v>3334.36</v>
      </c>
      <c r="P14" s="171">
        <v>4445.8100000000004</v>
      </c>
      <c r="Q14" s="162"/>
      <c r="R14" s="162"/>
    </row>
    <row r="15" spans="1:18">
      <c r="A15" s="191" t="s">
        <v>1042</v>
      </c>
      <c r="B15" s="172" t="s">
        <v>1043</v>
      </c>
      <c r="C15" s="215">
        <f>VLOOKUP($C$14,$F$3:$J$5,2,0)</f>
        <v>173</v>
      </c>
      <c r="D15" s="216" t="s">
        <v>1044</v>
      </c>
      <c r="E15" s="217">
        <f>VLOOKUP($C$14,$F$3:$J$5,3,0)</f>
        <v>25300</v>
      </c>
      <c r="F15" s="195" t="s">
        <v>1045</v>
      </c>
      <c r="G15" s="189"/>
      <c r="H15" s="218">
        <f>C9</f>
        <v>5.7403999999898403</v>
      </c>
      <c r="I15" s="214" t="s">
        <v>1028</v>
      </c>
      <c r="J15" s="190"/>
      <c r="K15" s="219">
        <v>1</v>
      </c>
      <c r="L15" s="220">
        <v>3</v>
      </c>
      <c r="M15" s="220">
        <v>4</v>
      </c>
      <c r="N15" s="221">
        <f>(L15/M15)+K15</f>
        <v>1.75</v>
      </c>
      <c r="O15" s="170">
        <v>3890.09</v>
      </c>
      <c r="P15" s="171">
        <v>5186.79</v>
      </c>
      <c r="Q15" s="162"/>
      <c r="R15" s="162"/>
    </row>
    <row r="16" spans="1:18">
      <c r="A16" s="191" t="s">
        <v>1046</v>
      </c>
      <c r="B16" s="172" t="s">
        <v>1047</v>
      </c>
      <c r="C16" s="217">
        <f>VLOOKUP($C$14,$F$3:$J$5,4,0)</f>
        <v>195</v>
      </c>
      <c r="D16" s="195" t="s">
        <v>1044</v>
      </c>
      <c r="E16" s="217">
        <f>VLOOKUP($C$14,$F$3:$J$5,5,0)</f>
        <v>28500</v>
      </c>
      <c r="F16" s="195" t="s">
        <v>1045</v>
      </c>
      <c r="G16" s="189"/>
      <c r="J16" s="190"/>
      <c r="K16" s="219"/>
      <c r="L16" s="220"/>
      <c r="M16" s="220">
        <v>2</v>
      </c>
      <c r="N16" s="221">
        <f>M16</f>
        <v>2</v>
      </c>
      <c r="O16" s="170">
        <v>4445.8100000000004</v>
      </c>
      <c r="P16" s="171">
        <v>5927.75</v>
      </c>
      <c r="Q16" s="162"/>
      <c r="R16" s="162"/>
    </row>
    <row r="17" spans="1:18" ht="15" customHeight="1">
      <c r="A17" s="191" t="s">
        <v>1048</v>
      </c>
      <c r="B17" s="172" t="s">
        <v>1049</v>
      </c>
      <c r="C17" s="222">
        <f>(4.9*C9*(C10-0.3)*C11)/C15+C12</f>
        <v>4.1669251928768567</v>
      </c>
      <c r="D17" t="s">
        <v>1036</v>
      </c>
      <c r="E17" s="222">
        <f>(2.6*E9*(E10-1)*E11)/E15+E12</f>
        <v>0.16370882740441106</v>
      </c>
      <c r="F17" t="s">
        <v>1037</v>
      </c>
      <c r="G17" s="859" t="s">
        <v>1050</v>
      </c>
      <c r="H17" s="859"/>
      <c r="I17" s="859"/>
      <c r="J17" s="859"/>
      <c r="K17" s="187"/>
      <c r="L17" s="187"/>
      <c r="M17" s="187"/>
      <c r="N17" s="187"/>
      <c r="O17" s="187"/>
      <c r="P17" s="188"/>
      <c r="Q17" s="162"/>
      <c r="R17" s="162"/>
    </row>
    <row r="18" spans="1:18">
      <c r="A18" s="223" t="s">
        <v>1051</v>
      </c>
      <c r="B18" s="224" t="s">
        <v>1052</v>
      </c>
      <c r="C18" s="225">
        <f>(4.9*C9*(C10-0.3))/C16</f>
        <v>0.88001568393690421</v>
      </c>
      <c r="D18" s="197" t="s">
        <v>1036</v>
      </c>
      <c r="E18" s="225">
        <f>(2.6*E9*(E10-1))/E16</f>
        <v>3.4362573099354386E-2</v>
      </c>
      <c r="F18" s="197" t="s">
        <v>1037</v>
      </c>
      <c r="G18" s="859"/>
      <c r="H18" s="859"/>
      <c r="I18" s="859"/>
      <c r="J18" s="859"/>
      <c r="K18" s="226"/>
      <c r="L18" s="226"/>
      <c r="M18" s="226"/>
      <c r="N18" s="226"/>
      <c r="O18" s="226"/>
      <c r="P18" s="227"/>
      <c r="Q18" s="162"/>
      <c r="R18" s="162"/>
    </row>
    <row r="19" spans="1:18">
      <c r="A19" s="162"/>
      <c r="B19" s="162"/>
      <c r="C19" s="162"/>
      <c r="D19" s="162"/>
      <c r="E19" s="162"/>
      <c r="F19" s="162"/>
      <c r="G19" s="162"/>
      <c r="H19" s="162"/>
      <c r="I19" s="162"/>
      <c r="J19" s="162"/>
      <c r="K19" s="162"/>
      <c r="L19" s="162"/>
      <c r="M19" s="162"/>
      <c r="N19" s="162"/>
      <c r="O19" s="162"/>
      <c r="P19" s="162"/>
      <c r="Q19" s="162"/>
      <c r="R19" s="162"/>
    </row>
    <row r="20" spans="1:18" ht="25.5" customHeight="1">
      <c r="A20" s="879" t="s">
        <v>1053</v>
      </c>
      <c r="B20" s="879"/>
      <c r="C20" s="879"/>
      <c r="D20" s="879"/>
      <c r="E20" s="879"/>
      <c r="F20" s="879"/>
      <c r="G20" s="879"/>
      <c r="H20" s="879"/>
      <c r="I20" s="879"/>
      <c r="J20" s="879"/>
      <c r="K20" s="879"/>
      <c r="L20" s="879"/>
      <c r="M20" s="879"/>
      <c r="N20" s="228"/>
      <c r="O20" s="229"/>
      <c r="P20" s="229"/>
      <c r="Q20" s="229"/>
      <c r="R20" s="229"/>
    </row>
    <row r="21" spans="1:18" ht="64.5" customHeight="1">
      <c r="A21" s="861" t="s">
        <v>1054</v>
      </c>
      <c r="B21" s="230" t="s">
        <v>1055</v>
      </c>
      <c r="C21" s="231" t="s">
        <v>1056</v>
      </c>
      <c r="D21" s="231" t="s">
        <v>1057</v>
      </c>
      <c r="E21" s="231" t="s">
        <v>1058</v>
      </c>
      <c r="F21" s="231" t="s">
        <v>1059</v>
      </c>
      <c r="G21" s="231" t="s">
        <v>1060</v>
      </c>
      <c r="H21" s="232" t="s">
        <v>1061</v>
      </c>
      <c r="I21" s="231" t="s">
        <v>1062</v>
      </c>
      <c r="J21" s="862" t="s">
        <v>1063</v>
      </c>
      <c r="K21" s="862"/>
      <c r="L21" s="862"/>
      <c r="M21" s="233" t="s">
        <v>1064</v>
      </c>
      <c r="N21" s="863"/>
      <c r="O21" s="863"/>
      <c r="P21" s="863"/>
      <c r="Q21" s="234"/>
      <c r="R21" s="234"/>
    </row>
    <row r="22" spans="1:18" ht="24.75" customHeight="1">
      <c r="A22" s="861"/>
      <c r="B22" s="165" t="s">
        <v>1029</v>
      </c>
      <c r="C22" s="165" t="s">
        <v>1029</v>
      </c>
      <c r="D22" s="235" t="s">
        <v>1040</v>
      </c>
      <c r="E22" s="235" t="s">
        <v>1040</v>
      </c>
      <c r="F22" s="235" t="s">
        <v>1040</v>
      </c>
      <c r="G22" s="235" t="s">
        <v>1040</v>
      </c>
      <c r="H22" s="165" t="s">
        <v>1065</v>
      </c>
      <c r="I22" s="235" t="s">
        <v>1040</v>
      </c>
      <c r="J22" s="167" t="s">
        <v>1066</v>
      </c>
      <c r="K22" s="167" t="s">
        <v>1067</v>
      </c>
      <c r="L22" s="167" t="s">
        <v>1068</v>
      </c>
      <c r="M22" s="236" t="s">
        <v>1069</v>
      </c>
      <c r="N22" s="237"/>
      <c r="O22" s="237"/>
      <c r="P22" s="237"/>
      <c r="Q22" s="234"/>
      <c r="R22" s="234"/>
    </row>
    <row r="23" spans="1:18">
      <c r="A23" s="238">
        <v>1</v>
      </c>
      <c r="B23" s="239">
        <v>6</v>
      </c>
      <c r="C23" s="240">
        <f>E10</f>
        <v>21</v>
      </c>
      <c r="D23" s="241">
        <f t="shared" ref="D23:D32" si="1">IF(C23=0,0,(2.6*$E$9*(C23-1)*$E$11)/$E$15+$E$12)</f>
        <v>0.16370882740441106</v>
      </c>
      <c r="E23" s="242">
        <f t="shared" ref="E23:E28" si="2">(2.6*$E$9*(C23-1))/$E$16</f>
        <v>3.4362573099354386E-2</v>
      </c>
      <c r="F23" s="243">
        <f t="shared" ref="F23:F32" si="3">D23*1.125</f>
        <v>0.18417243082996243</v>
      </c>
      <c r="G23" s="244">
        <f t="shared" ref="G23:G32" si="4">IF(C23=0,0,VLOOKUP(F23,Q38:R2037,2,1))</f>
        <v>0.1875</v>
      </c>
      <c r="H23" s="245">
        <f t="shared" ref="H23:H32" si="5">(IF(C23=0,0,(PI()*$E$9*B23*G23*$I$55/(12))))</f>
        <v>2773.437264492331</v>
      </c>
      <c r="I23" s="246">
        <f t="shared" ref="I23:I32" si="6">D23*(1+0.12)</f>
        <v>0.18335388669294039</v>
      </c>
      <c r="J23" s="247">
        <f>IF(B23=6,VLOOKUP($G$23,$N$2:$P$16,2,0),0)</f>
        <v>415</v>
      </c>
      <c r="K23" s="247">
        <f>IF(B23=8,VLOOKUP($G$23,$N$2:$P$16,3,0),0)</f>
        <v>0</v>
      </c>
      <c r="L23" s="247">
        <f t="shared" ref="L23:L32" si="7">IF(B23=6,J23,K23)</f>
        <v>415</v>
      </c>
      <c r="M23" s="248">
        <f>ROUNDUP((H23/2.20462)/L23,0)</f>
        <v>4</v>
      </c>
      <c r="N23" s="249"/>
      <c r="O23" s="250"/>
      <c r="P23" s="249"/>
      <c r="Q23" s="251"/>
      <c r="R23" s="252"/>
    </row>
    <row r="24" spans="1:18">
      <c r="A24" s="238">
        <v>2</v>
      </c>
      <c r="B24" s="239">
        <f t="shared" ref="B24:B32" si="8">$B$23</f>
        <v>6</v>
      </c>
      <c r="C24" s="253">
        <f t="shared" ref="C24:C32" si="9">IF(C23-B23&lt;0,0,C23-B23)</f>
        <v>15</v>
      </c>
      <c r="D24" s="241">
        <f t="shared" si="1"/>
        <v>0.15209617918308774</v>
      </c>
      <c r="E24" s="242">
        <f t="shared" si="2"/>
        <v>2.4053801169548073E-2</v>
      </c>
      <c r="F24" s="243">
        <f t="shared" si="3"/>
        <v>0.1711082015809737</v>
      </c>
      <c r="G24" s="244">
        <f t="shared" si="4"/>
        <v>0.1875</v>
      </c>
      <c r="H24" s="245">
        <f t="shared" si="5"/>
        <v>2773.437264492331</v>
      </c>
      <c r="I24" s="246">
        <f t="shared" si="6"/>
        <v>0.1703477206850583</v>
      </c>
      <c r="J24" s="247">
        <f>IF(B24=6,VLOOKUP($G$24,$N$2:$P$16,2,0),0)</f>
        <v>415</v>
      </c>
      <c r="K24" s="247">
        <f>IF(B24=8,VLOOKUP($G$24,$N$2:$P$16,3,0),0)</f>
        <v>0</v>
      </c>
      <c r="L24" s="247">
        <f t="shared" si="7"/>
        <v>415</v>
      </c>
      <c r="M24" s="254">
        <f>ROUNDUP((H24/2.20462)/L24,0)</f>
        <v>4</v>
      </c>
      <c r="N24" s="249"/>
      <c r="O24" s="250"/>
      <c r="P24" s="249"/>
      <c r="Q24" s="251"/>
      <c r="R24" s="252"/>
    </row>
    <row r="25" spans="1:18">
      <c r="A25" s="238">
        <v>3</v>
      </c>
      <c r="B25" s="253">
        <f t="shared" si="8"/>
        <v>6</v>
      </c>
      <c r="C25" s="253">
        <f t="shared" si="9"/>
        <v>9</v>
      </c>
      <c r="D25" s="241">
        <f t="shared" si="1"/>
        <v>0.14048353096176441</v>
      </c>
      <c r="E25" s="242">
        <f t="shared" si="2"/>
        <v>1.3745029239741755E-2</v>
      </c>
      <c r="F25" s="243">
        <f t="shared" si="3"/>
        <v>0.15804397233198497</v>
      </c>
      <c r="G25" s="244">
        <f t="shared" si="4"/>
        <v>0.1875</v>
      </c>
      <c r="H25" s="245">
        <f t="shared" si="5"/>
        <v>2773.437264492331</v>
      </c>
      <c r="I25" s="246">
        <f t="shared" si="6"/>
        <v>0.15734155467717617</v>
      </c>
      <c r="J25" s="247">
        <f>IF(B25=6,VLOOKUP($G$25,$N$2:$P$16,2,0),0)</f>
        <v>415</v>
      </c>
      <c r="K25" s="247">
        <f>IF(B25=8,VLOOKUP($G$25,$N$2:$P$16,3,0),0)</f>
        <v>0</v>
      </c>
      <c r="L25" s="247">
        <f t="shared" si="7"/>
        <v>415</v>
      </c>
      <c r="M25" s="254">
        <f>IF(G25=0,0,ROUNDUP((H25/2.20462)/L25,0))</f>
        <v>4</v>
      </c>
      <c r="N25" s="249"/>
      <c r="O25" s="250"/>
      <c r="P25" s="249"/>
      <c r="Q25" s="251"/>
      <c r="R25" s="252"/>
    </row>
    <row r="26" spans="1:18">
      <c r="A26" s="238">
        <v>4</v>
      </c>
      <c r="B26" s="253">
        <f t="shared" si="8"/>
        <v>6</v>
      </c>
      <c r="C26" s="253">
        <f t="shared" si="9"/>
        <v>3</v>
      </c>
      <c r="D26" s="241">
        <f t="shared" si="1"/>
        <v>0.12887088274044112</v>
      </c>
      <c r="E26" s="242">
        <f t="shared" si="2"/>
        <v>3.4362573099354387E-3</v>
      </c>
      <c r="F26" s="243">
        <f t="shared" si="3"/>
        <v>0.14497974308299627</v>
      </c>
      <c r="G26" s="244">
        <f t="shared" si="4"/>
        <v>0.1875</v>
      </c>
      <c r="H26" s="245">
        <f t="shared" si="5"/>
        <v>2773.437264492331</v>
      </c>
      <c r="I26" s="246">
        <f t="shared" si="6"/>
        <v>0.14433538866929407</v>
      </c>
      <c r="J26" s="247">
        <f>IF(B26=6,VLOOKUP($G$26,$N$2:$P$16,2,0),0)</f>
        <v>415</v>
      </c>
      <c r="K26" s="247">
        <f>IF(B26=8,VLOOKUP($G$26,$N$2:$P$16,3,0),0)</f>
        <v>0</v>
      </c>
      <c r="L26" s="247">
        <f t="shared" si="7"/>
        <v>415</v>
      </c>
      <c r="M26" s="254">
        <f t="shared" ref="M26:M32" si="10">IF(G26=0,0,ROUNDUP((H26/2.2)/L26,0))</f>
        <v>4</v>
      </c>
      <c r="N26" s="249"/>
      <c r="O26" s="250"/>
      <c r="P26" s="249"/>
      <c r="Q26" s="251"/>
      <c r="R26" s="252"/>
    </row>
    <row r="27" spans="1:18">
      <c r="A27" s="238">
        <v>5</v>
      </c>
      <c r="B27" s="253">
        <f t="shared" si="8"/>
        <v>6</v>
      </c>
      <c r="C27" s="253">
        <f t="shared" si="9"/>
        <v>0</v>
      </c>
      <c r="D27" s="241">
        <f t="shared" si="1"/>
        <v>0</v>
      </c>
      <c r="E27" s="242">
        <f t="shared" si="2"/>
        <v>-1.7181286549677194E-3</v>
      </c>
      <c r="F27" s="243">
        <f t="shared" si="3"/>
        <v>0</v>
      </c>
      <c r="G27" s="244">
        <f t="shared" si="4"/>
        <v>0</v>
      </c>
      <c r="H27" s="245">
        <f t="shared" si="5"/>
        <v>0</v>
      </c>
      <c r="I27" s="246">
        <f t="shared" si="6"/>
        <v>0</v>
      </c>
      <c r="J27" s="247">
        <f>IF(B27=6,VLOOKUP($G$27,$N$2:$P$16,2,0),0)</f>
        <v>0</v>
      </c>
      <c r="K27" s="247">
        <f>IF(B27=8,VLOOKUP($G$27,$N$2:$P$16,3,0),0)</f>
        <v>0</v>
      </c>
      <c r="L27" s="247">
        <f t="shared" si="7"/>
        <v>0</v>
      </c>
      <c r="M27" s="254">
        <f t="shared" si="10"/>
        <v>0</v>
      </c>
      <c r="N27" s="249"/>
      <c r="O27" s="250"/>
      <c r="P27" s="249"/>
      <c r="Q27" s="251"/>
      <c r="R27" s="252"/>
    </row>
    <row r="28" spans="1:18">
      <c r="A28" s="238">
        <v>6</v>
      </c>
      <c r="B28" s="253">
        <f t="shared" si="8"/>
        <v>6</v>
      </c>
      <c r="C28" s="253">
        <f t="shared" si="9"/>
        <v>0</v>
      </c>
      <c r="D28" s="241">
        <f t="shared" si="1"/>
        <v>0</v>
      </c>
      <c r="E28" s="242">
        <f t="shared" si="2"/>
        <v>-1.7181286549677194E-3</v>
      </c>
      <c r="F28" s="243">
        <f t="shared" si="3"/>
        <v>0</v>
      </c>
      <c r="G28" s="244">
        <f t="shared" si="4"/>
        <v>0</v>
      </c>
      <c r="H28" s="245">
        <f t="shared" si="5"/>
        <v>0</v>
      </c>
      <c r="I28" s="246">
        <f t="shared" si="6"/>
        <v>0</v>
      </c>
      <c r="J28" s="247">
        <f>IF(B28=6,VLOOKUP($G$28,$N$2:$P$16,2,0),0)</f>
        <v>0</v>
      </c>
      <c r="K28" s="247">
        <f>IF(B28=8,VLOOKUP($G$28,$N$2:$P$16,3,0),0)</f>
        <v>0</v>
      </c>
      <c r="L28" s="247">
        <f t="shared" si="7"/>
        <v>0</v>
      </c>
      <c r="M28" s="254">
        <f t="shared" si="10"/>
        <v>0</v>
      </c>
      <c r="N28" s="249"/>
      <c r="O28" s="250"/>
      <c r="P28" s="249"/>
      <c r="Q28" s="251"/>
      <c r="R28" s="252"/>
    </row>
    <row r="29" spans="1:18">
      <c r="A29" s="238">
        <v>7</v>
      </c>
      <c r="B29" s="253">
        <f t="shared" si="8"/>
        <v>6</v>
      </c>
      <c r="C29" s="253">
        <f t="shared" si="9"/>
        <v>0</v>
      </c>
      <c r="D29" s="241">
        <f t="shared" si="1"/>
        <v>0</v>
      </c>
      <c r="E29" s="242">
        <f>IF(C29=0,0,(2.6*$E$9*(C29-1))/$E$16)</f>
        <v>0</v>
      </c>
      <c r="F29" s="243">
        <f t="shared" si="3"/>
        <v>0</v>
      </c>
      <c r="G29" s="244">
        <f t="shared" si="4"/>
        <v>0</v>
      </c>
      <c r="H29" s="245">
        <f t="shared" si="5"/>
        <v>0</v>
      </c>
      <c r="I29" s="246">
        <f t="shared" si="6"/>
        <v>0</v>
      </c>
      <c r="J29" s="247">
        <f>IF(B29=6,VLOOKUP($G$29,$N$2:$P$16,2,0),0)</f>
        <v>0</v>
      </c>
      <c r="K29" s="247">
        <f>IF(B29=8,VLOOKUP($G$29,$N$2:$P$16,3,0),0)</f>
        <v>0</v>
      </c>
      <c r="L29" s="247">
        <f t="shared" si="7"/>
        <v>0</v>
      </c>
      <c r="M29" s="254">
        <f t="shared" si="10"/>
        <v>0</v>
      </c>
      <c r="N29" s="249"/>
      <c r="O29" s="250"/>
      <c r="P29" s="249"/>
      <c r="Q29" s="251"/>
      <c r="R29" s="252"/>
    </row>
    <row r="30" spans="1:18">
      <c r="A30" s="238">
        <v>8</v>
      </c>
      <c r="B30" s="253">
        <f t="shared" si="8"/>
        <v>6</v>
      </c>
      <c r="C30" s="253">
        <f t="shared" si="9"/>
        <v>0</v>
      </c>
      <c r="D30" s="241">
        <f t="shared" si="1"/>
        <v>0</v>
      </c>
      <c r="E30" s="242">
        <f>IF(C30=0,0,(2.6*$E$9*(C30-1))/$E$16)</f>
        <v>0</v>
      </c>
      <c r="F30" s="243">
        <f t="shared" si="3"/>
        <v>0</v>
      </c>
      <c r="G30" s="244">
        <f t="shared" si="4"/>
        <v>0</v>
      </c>
      <c r="H30" s="245">
        <f t="shared" si="5"/>
        <v>0</v>
      </c>
      <c r="I30" s="246">
        <f t="shared" si="6"/>
        <v>0</v>
      </c>
      <c r="J30" s="247">
        <f>IF(B30=6,VLOOKUP($G$30,$N$2:$P$16,2,0),0)</f>
        <v>0</v>
      </c>
      <c r="K30" s="247">
        <f>IF(B30=8,VLOOKUP($G$30,$N$2:$P$16,3,0),0)</f>
        <v>0</v>
      </c>
      <c r="L30" s="247">
        <f t="shared" si="7"/>
        <v>0</v>
      </c>
      <c r="M30" s="254">
        <f t="shared" si="10"/>
        <v>0</v>
      </c>
      <c r="N30" s="249"/>
      <c r="O30" s="250"/>
      <c r="P30" s="249"/>
      <c r="Q30" s="251"/>
      <c r="R30" s="252"/>
    </row>
    <row r="31" spans="1:18">
      <c r="A31" s="238">
        <v>9</v>
      </c>
      <c r="B31" s="253">
        <f t="shared" si="8"/>
        <v>6</v>
      </c>
      <c r="C31" s="253">
        <f t="shared" si="9"/>
        <v>0</v>
      </c>
      <c r="D31" s="241">
        <f t="shared" si="1"/>
        <v>0</v>
      </c>
      <c r="E31" s="242">
        <f>IF(C31=0,0,(2.6*$E$9*(C31-1))/$E$16)</f>
        <v>0</v>
      </c>
      <c r="F31" s="243">
        <f t="shared" si="3"/>
        <v>0</v>
      </c>
      <c r="G31" s="244">
        <f t="shared" si="4"/>
        <v>0</v>
      </c>
      <c r="H31" s="245">
        <f t="shared" si="5"/>
        <v>0</v>
      </c>
      <c r="I31" s="246">
        <f t="shared" si="6"/>
        <v>0</v>
      </c>
      <c r="J31" s="247">
        <f>IF(B31=6,VLOOKUP($G$31,$N$2:$P$16,2,0),0)</f>
        <v>0</v>
      </c>
      <c r="K31" s="247">
        <f>IF(B31=8,VLOOKUP($G$31,$N$2:$P$16,3,0),0)</f>
        <v>0</v>
      </c>
      <c r="L31" s="247">
        <f t="shared" si="7"/>
        <v>0</v>
      </c>
      <c r="M31" s="254">
        <f t="shared" si="10"/>
        <v>0</v>
      </c>
      <c r="N31" s="249"/>
      <c r="O31" s="250"/>
      <c r="P31" s="249"/>
      <c r="Q31" s="251"/>
      <c r="R31" s="252"/>
    </row>
    <row r="32" spans="1:18">
      <c r="A32" s="238">
        <v>10</v>
      </c>
      <c r="B32" s="253">
        <f t="shared" si="8"/>
        <v>6</v>
      </c>
      <c r="C32" s="253">
        <f t="shared" si="9"/>
        <v>0</v>
      </c>
      <c r="D32" s="241">
        <f t="shared" si="1"/>
        <v>0</v>
      </c>
      <c r="E32" s="242">
        <f>IF(C32=0,0,(2.6*$E$9*(C32-1))/$E$16)</f>
        <v>0</v>
      </c>
      <c r="F32" s="243">
        <f t="shared" si="3"/>
        <v>0</v>
      </c>
      <c r="G32" s="244">
        <f t="shared" si="4"/>
        <v>0</v>
      </c>
      <c r="H32" s="245">
        <f t="shared" si="5"/>
        <v>0</v>
      </c>
      <c r="I32" s="246">
        <f t="shared" si="6"/>
        <v>0</v>
      </c>
      <c r="J32" s="247">
        <f>IF(B32=6,VLOOKUP($G$30,$N$2:$P$16,2,0),0)</f>
        <v>0</v>
      </c>
      <c r="K32" s="247">
        <f>IF(B32=8,VLOOKUP($G$32,$N$2:$P$16,3,0),0)</f>
        <v>0</v>
      </c>
      <c r="L32" s="247">
        <f t="shared" si="7"/>
        <v>0</v>
      </c>
      <c r="M32" s="254">
        <f t="shared" si="10"/>
        <v>0</v>
      </c>
      <c r="N32" s="249"/>
      <c r="O32" s="250"/>
      <c r="P32" s="249"/>
      <c r="Q32" s="251"/>
      <c r="R32" s="252"/>
    </row>
    <row r="33" spans="1:18">
      <c r="A33" s="255"/>
      <c r="B33" s="256"/>
      <c r="C33" s="256"/>
      <c r="D33" s="162"/>
      <c r="E33" s="162"/>
      <c r="F33" s="162"/>
      <c r="G33" s="257" t="s">
        <v>1070</v>
      </c>
      <c r="H33" s="245">
        <f>(SUM(H23:H32))</f>
        <v>11093.749057969324</v>
      </c>
      <c r="I33" s="162"/>
      <c r="J33" s="162"/>
      <c r="K33" s="162"/>
      <c r="L33" s="162"/>
      <c r="M33" s="258">
        <f>SUM(M23:M30)</f>
        <v>16</v>
      </c>
      <c r="N33"/>
      <c r="O33"/>
      <c r="P33"/>
      <c r="Q33" s="259"/>
      <c r="R33"/>
    </row>
    <row r="34" spans="1:18">
      <c r="A34" s="255"/>
      <c r="B34" s="256"/>
      <c r="C34" s="256"/>
      <c r="D34" s="162"/>
      <c r="E34" s="162"/>
      <c r="F34" s="162"/>
      <c r="G34" s="162"/>
      <c r="H34" s="260"/>
      <c r="I34" s="162"/>
      <c r="J34" s="162"/>
      <c r="K34" s="162"/>
      <c r="L34" s="162"/>
      <c r="M34" s="261"/>
      <c r="N34" s="262"/>
      <c r="O34"/>
      <c r="P34"/>
      <c r="Q34"/>
      <c r="R34"/>
    </row>
    <row r="35" spans="1:18">
      <c r="A35" s="856" t="s">
        <v>1054</v>
      </c>
      <c r="B35" s="263" t="s">
        <v>1055</v>
      </c>
      <c r="C35" s="264" t="s">
        <v>1071</v>
      </c>
      <c r="D35" s="265" t="s">
        <v>1049</v>
      </c>
      <c r="E35" s="265" t="s">
        <v>1052</v>
      </c>
      <c r="F35" s="265" t="s">
        <v>1072</v>
      </c>
      <c r="G35" s="265" t="s">
        <v>1073</v>
      </c>
      <c r="H35" s="265" t="s">
        <v>1061</v>
      </c>
      <c r="I35" s="266" t="s">
        <v>1074</v>
      </c>
      <c r="J35" s="857" t="s">
        <v>1075</v>
      </c>
      <c r="K35" s="857"/>
      <c r="L35" s="857"/>
      <c r="M35" s="268" t="str">
        <f t="shared" ref="M35:M47" si="11">+M21</f>
        <v xml:space="preserve">No </v>
      </c>
      <c r="N35"/>
      <c r="O35"/>
      <c r="P35"/>
      <c r="Q35"/>
      <c r="R35"/>
    </row>
    <row r="36" spans="1:18">
      <c r="A36" s="856"/>
      <c r="B36" s="269" t="s">
        <v>1028</v>
      </c>
      <c r="C36" s="270" t="s">
        <v>1028</v>
      </c>
      <c r="D36" s="235" t="s">
        <v>1028</v>
      </c>
      <c r="E36" s="235" t="s">
        <v>1036</v>
      </c>
      <c r="F36" s="235" t="s">
        <v>1036</v>
      </c>
      <c r="G36" s="235" t="s">
        <v>1036</v>
      </c>
      <c r="H36" s="235" t="s">
        <v>1076</v>
      </c>
      <c r="I36" s="235" t="s">
        <v>1036</v>
      </c>
      <c r="J36" s="235" t="s">
        <v>1066</v>
      </c>
      <c r="K36" s="235" t="s">
        <v>1067</v>
      </c>
      <c r="L36" s="235" t="s">
        <v>1068</v>
      </c>
      <c r="M36" s="268" t="str">
        <f t="shared" si="11"/>
        <v>Láminas</v>
      </c>
      <c r="N36"/>
      <c r="O36"/>
      <c r="P36"/>
      <c r="Q36"/>
      <c r="R36" s="184"/>
    </row>
    <row r="37" spans="1:18">
      <c r="A37" s="271">
        <v>1</v>
      </c>
      <c r="B37" s="272">
        <f t="shared" ref="B37:B46" si="12">B23*0.3048</f>
        <v>1.8288000000000002</v>
      </c>
      <c r="C37" s="241">
        <f>C10</f>
        <v>6.4008000000000003</v>
      </c>
      <c r="D37" s="241">
        <f t="shared" ref="D37:D46" si="13">(4.9*$C$9*(C37-0.3)*$C$11)/$C$15+$C$12</f>
        <v>4.1669251928768567</v>
      </c>
      <c r="E37" s="241">
        <f>(4.9*C9*(C37-0.3))/C16</f>
        <v>0.88001568393690421</v>
      </c>
      <c r="F37" s="241">
        <f t="shared" ref="F37:G41" si="14">F23*25.4</f>
        <v>4.6779797430810452</v>
      </c>
      <c r="G37" s="241">
        <f t="shared" si="14"/>
        <v>4.7624999999999993</v>
      </c>
      <c r="H37" s="245">
        <f t="shared" ref="H37:H46" si="15">+H23/2.20462</f>
        <v>1258.0114779382984</v>
      </c>
      <c r="I37" s="245">
        <f t="shared" ref="I37:I46" si="16">+I23*25.4</f>
        <v>4.6571887220006856</v>
      </c>
      <c r="J37" s="247">
        <f t="shared" ref="J37:L46" si="17">+J23*2.20462</f>
        <v>914.91729999999995</v>
      </c>
      <c r="K37" s="247">
        <f t="shared" si="17"/>
        <v>0</v>
      </c>
      <c r="L37" s="273">
        <f t="shared" si="17"/>
        <v>914.91729999999995</v>
      </c>
      <c r="M37" s="254">
        <f t="shared" si="11"/>
        <v>4</v>
      </c>
      <c r="N37"/>
      <c r="O37"/>
      <c r="P37"/>
      <c r="Q37" s="167" t="s">
        <v>1073</v>
      </c>
      <c r="R37" s="167" t="s">
        <v>1077</v>
      </c>
    </row>
    <row r="38" spans="1:18">
      <c r="A38" s="271">
        <v>2</v>
      </c>
      <c r="B38" s="241">
        <f t="shared" si="12"/>
        <v>1.8288000000000002</v>
      </c>
      <c r="C38" s="241">
        <f t="shared" ref="C38:C46" si="18">IF(C37-B37&lt;0,0,C37-B37)</f>
        <v>4.5720000000000001</v>
      </c>
      <c r="D38" s="241">
        <f t="shared" si="13"/>
        <v>3.8695817636981928</v>
      </c>
      <c r="E38" s="241">
        <f>(4.9*C9*(C38-0.3))/C16</f>
        <v>0.61621869292198639</v>
      </c>
      <c r="F38" s="241">
        <f t="shared" si="14"/>
        <v>4.3461483201567317</v>
      </c>
      <c r="G38" s="241">
        <f t="shared" si="14"/>
        <v>4.7624999999999993</v>
      </c>
      <c r="H38" s="245">
        <f t="shared" si="15"/>
        <v>1258.0114779382984</v>
      </c>
      <c r="I38" s="245">
        <f t="shared" si="16"/>
        <v>4.3268321054004808</v>
      </c>
      <c r="J38" s="247">
        <f t="shared" si="17"/>
        <v>914.91729999999995</v>
      </c>
      <c r="K38" s="247">
        <f t="shared" si="17"/>
        <v>0</v>
      </c>
      <c r="L38" s="273">
        <f t="shared" si="17"/>
        <v>914.91729999999995</v>
      </c>
      <c r="M38" s="254">
        <f t="shared" si="11"/>
        <v>4</v>
      </c>
      <c r="N38" s="274"/>
      <c r="O38"/>
      <c r="P38"/>
      <c r="Q38" s="275">
        <v>1E-3</v>
      </c>
      <c r="R38" s="276">
        <v>0.1875</v>
      </c>
    </row>
    <row r="39" spans="1:18">
      <c r="A39" s="271">
        <v>3</v>
      </c>
      <c r="B39" s="241">
        <f t="shared" si="12"/>
        <v>1.8288000000000002</v>
      </c>
      <c r="C39" s="241">
        <f t="shared" si="18"/>
        <v>2.7431999999999999</v>
      </c>
      <c r="D39" s="241">
        <f t="shared" si="13"/>
        <v>3.5722383345195281</v>
      </c>
      <c r="E39" s="241">
        <f>(4.9*C9*(C39-0.3))/C16</f>
        <v>0.35242170190706862</v>
      </c>
      <c r="F39" s="241">
        <f t="shared" si="14"/>
        <v>4.0143168972324181</v>
      </c>
      <c r="G39" s="241">
        <f t="shared" si="14"/>
        <v>4.7624999999999993</v>
      </c>
      <c r="H39" s="245">
        <f t="shared" si="15"/>
        <v>1258.0114779382984</v>
      </c>
      <c r="I39" s="245">
        <f t="shared" si="16"/>
        <v>3.9964754888002747</v>
      </c>
      <c r="J39" s="247">
        <f t="shared" si="17"/>
        <v>914.91729999999995</v>
      </c>
      <c r="K39" s="247">
        <f t="shared" si="17"/>
        <v>0</v>
      </c>
      <c r="L39" s="273">
        <f t="shared" si="17"/>
        <v>914.91729999999995</v>
      </c>
      <c r="M39" s="254">
        <f t="shared" si="11"/>
        <v>4</v>
      </c>
      <c r="N39" s="274"/>
      <c r="O39"/>
      <c r="P39"/>
      <c r="Q39" s="275">
        <f t="shared" ref="Q39:Q102" si="19">Q38+0.001</f>
        <v>2E-3</v>
      </c>
      <c r="R39" s="276">
        <v>0.1875</v>
      </c>
    </row>
    <row r="40" spans="1:18">
      <c r="A40" s="271">
        <v>4</v>
      </c>
      <c r="B40" s="241">
        <f t="shared" si="12"/>
        <v>1.8288000000000002</v>
      </c>
      <c r="C40" s="241">
        <f t="shared" si="18"/>
        <v>0.91439999999999966</v>
      </c>
      <c r="D40" s="241">
        <f t="shared" si="13"/>
        <v>3.2748949053408634</v>
      </c>
      <c r="E40" s="241">
        <f>(4.9*$C$9*(C40-0.3))/$C$16</f>
        <v>8.8624710892150793E-2</v>
      </c>
      <c r="F40" s="241">
        <f t="shared" si="14"/>
        <v>3.682485474308105</v>
      </c>
      <c r="G40" s="241">
        <f t="shared" si="14"/>
        <v>4.7624999999999993</v>
      </c>
      <c r="H40" s="245">
        <f t="shared" si="15"/>
        <v>1258.0114779382984</v>
      </c>
      <c r="I40" s="245">
        <f t="shared" si="16"/>
        <v>3.666118872200069</v>
      </c>
      <c r="J40" s="247">
        <f t="shared" si="17"/>
        <v>914.91729999999995</v>
      </c>
      <c r="K40" s="247">
        <f t="shared" si="17"/>
        <v>0</v>
      </c>
      <c r="L40" s="273">
        <f t="shared" si="17"/>
        <v>914.91729999999995</v>
      </c>
      <c r="M40" s="254">
        <f t="shared" si="11"/>
        <v>4</v>
      </c>
      <c r="N40" s="274"/>
      <c r="O40"/>
      <c r="P40"/>
      <c r="Q40" s="275">
        <f t="shared" si="19"/>
        <v>3.0000000000000001E-3</v>
      </c>
      <c r="R40" s="276">
        <v>0.1875</v>
      </c>
    </row>
    <row r="41" spans="1:18">
      <c r="A41" s="271">
        <v>5</v>
      </c>
      <c r="B41" s="241">
        <f t="shared" si="12"/>
        <v>1.8288000000000002</v>
      </c>
      <c r="C41" s="241">
        <f t="shared" si="18"/>
        <v>0</v>
      </c>
      <c r="D41" s="241">
        <f t="shared" si="13"/>
        <v>3.1262231907515314</v>
      </c>
      <c r="E41" s="241">
        <f>(4.9*$C$9*(C41-0.3))/$C$16</f>
        <v>-4.3273784615308029E-2</v>
      </c>
      <c r="F41" s="241">
        <f t="shared" si="14"/>
        <v>0</v>
      </c>
      <c r="G41" s="241">
        <f t="shared" si="14"/>
        <v>0</v>
      </c>
      <c r="H41" s="245">
        <f t="shared" si="15"/>
        <v>0</v>
      </c>
      <c r="I41" s="245">
        <f t="shared" si="16"/>
        <v>0</v>
      </c>
      <c r="J41" s="247">
        <f t="shared" si="17"/>
        <v>0</v>
      </c>
      <c r="K41" s="247">
        <f t="shared" si="17"/>
        <v>0</v>
      </c>
      <c r="L41" s="273">
        <f t="shared" si="17"/>
        <v>0</v>
      </c>
      <c r="M41" s="254">
        <f t="shared" si="11"/>
        <v>0</v>
      </c>
      <c r="N41" s="274"/>
      <c r="O41"/>
      <c r="P41"/>
      <c r="Q41" s="275">
        <f t="shared" si="19"/>
        <v>4.0000000000000001E-3</v>
      </c>
      <c r="R41" s="276">
        <v>0.1875</v>
      </c>
    </row>
    <row r="42" spans="1:18">
      <c r="A42" s="271">
        <v>6</v>
      </c>
      <c r="B42" s="241">
        <f t="shared" si="12"/>
        <v>1.8288000000000002</v>
      </c>
      <c r="C42" s="241">
        <f t="shared" si="18"/>
        <v>0</v>
      </c>
      <c r="D42" s="241">
        <f t="shared" si="13"/>
        <v>3.1262231907515314</v>
      </c>
      <c r="E42" s="241">
        <f>(4.9*$C$9*(C42-0.3))/$C$16</f>
        <v>-4.3273784615308029E-2</v>
      </c>
      <c r="F42" s="241">
        <f>F28*25.4</f>
        <v>0</v>
      </c>
      <c r="G42" s="241">
        <f>G27*25.4</f>
        <v>0</v>
      </c>
      <c r="H42" s="245">
        <f t="shared" si="15"/>
        <v>0</v>
      </c>
      <c r="I42" s="245">
        <f t="shared" si="16"/>
        <v>0</v>
      </c>
      <c r="J42" s="247">
        <f t="shared" si="17"/>
        <v>0</v>
      </c>
      <c r="K42" s="247">
        <f t="shared" si="17"/>
        <v>0</v>
      </c>
      <c r="L42" s="273">
        <f t="shared" si="17"/>
        <v>0</v>
      </c>
      <c r="M42" s="254">
        <f t="shared" si="11"/>
        <v>0</v>
      </c>
      <c r="N42" s="274"/>
      <c r="O42"/>
      <c r="P42"/>
      <c r="Q42" s="275">
        <f t="shared" si="19"/>
        <v>5.0000000000000001E-3</v>
      </c>
      <c r="R42" s="276">
        <v>0.1875</v>
      </c>
    </row>
    <row r="43" spans="1:18">
      <c r="A43" s="271">
        <v>7</v>
      </c>
      <c r="B43" s="241">
        <f t="shared" si="12"/>
        <v>1.8288000000000002</v>
      </c>
      <c r="C43" s="241">
        <f t="shared" si="18"/>
        <v>0</v>
      </c>
      <c r="D43" s="241">
        <f t="shared" si="13"/>
        <v>3.1262231907515314</v>
      </c>
      <c r="E43" s="241">
        <f>IF(C43=0,0,((4.9*$C$9*(C43-0.3))/$C$16))</f>
        <v>0</v>
      </c>
      <c r="F43" s="241">
        <f>F29*25.4</f>
        <v>0</v>
      </c>
      <c r="G43" s="241">
        <f>G29*25.4</f>
        <v>0</v>
      </c>
      <c r="H43" s="245">
        <f t="shared" si="15"/>
        <v>0</v>
      </c>
      <c r="I43" s="245">
        <f t="shared" si="16"/>
        <v>0</v>
      </c>
      <c r="J43" s="247">
        <f t="shared" si="17"/>
        <v>0</v>
      </c>
      <c r="K43" s="247">
        <f t="shared" si="17"/>
        <v>0</v>
      </c>
      <c r="L43" s="273">
        <f t="shared" si="17"/>
        <v>0</v>
      </c>
      <c r="M43" s="254">
        <f t="shared" si="11"/>
        <v>0</v>
      </c>
      <c r="N43" s="274"/>
      <c r="O43"/>
      <c r="P43"/>
      <c r="Q43" s="275">
        <f t="shared" si="19"/>
        <v>6.0000000000000001E-3</v>
      </c>
      <c r="R43" s="276">
        <v>0.1875</v>
      </c>
    </row>
    <row r="44" spans="1:18">
      <c r="A44" s="271">
        <v>8</v>
      </c>
      <c r="B44" s="241">
        <f t="shared" si="12"/>
        <v>1.8288000000000002</v>
      </c>
      <c r="C44" s="241">
        <f t="shared" si="18"/>
        <v>0</v>
      </c>
      <c r="D44" s="241">
        <f t="shared" si="13"/>
        <v>3.1262231907515314</v>
      </c>
      <c r="E44" s="241">
        <f>(4.9*$C$9*(C44-0.3))/$C$16</f>
        <v>-4.3273784615308029E-2</v>
      </c>
      <c r="F44" s="241">
        <f>F30*25.4</f>
        <v>0</v>
      </c>
      <c r="G44" s="241">
        <f>G30*25.4</f>
        <v>0</v>
      </c>
      <c r="H44" s="245">
        <f t="shared" si="15"/>
        <v>0</v>
      </c>
      <c r="I44" s="245">
        <f t="shared" si="16"/>
        <v>0</v>
      </c>
      <c r="J44" s="247">
        <f t="shared" si="17"/>
        <v>0</v>
      </c>
      <c r="K44" s="247">
        <f t="shared" si="17"/>
        <v>0</v>
      </c>
      <c r="L44" s="273">
        <f t="shared" si="17"/>
        <v>0</v>
      </c>
      <c r="M44" s="254">
        <f t="shared" si="11"/>
        <v>0</v>
      </c>
      <c r="N44" s="274"/>
      <c r="O44"/>
      <c r="P44"/>
      <c r="Q44" s="275">
        <f t="shared" si="19"/>
        <v>7.0000000000000001E-3</v>
      </c>
      <c r="R44" s="276">
        <v>0.1875</v>
      </c>
    </row>
    <row r="45" spans="1:18">
      <c r="A45" s="271">
        <v>9</v>
      </c>
      <c r="B45" s="241">
        <f t="shared" si="12"/>
        <v>1.8288000000000002</v>
      </c>
      <c r="C45" s="241">
        <f t="shared" si="18"/>
        <v>0</v>
      </c>
      <c r="D45" s="241">
        <f t="shared" si="13"/>
        <v>3.1262231907515314</v>
      </c>
      <c r="E45" s="241">
        <f>(4.9*$C$9*(C45-0.3))/$C$16</f>
        <v>-4.3273784615308029E-2</v>
      </c>
      <c r="F45" s="241">
        <f>F31*25.4</f>
        <v>0</v>
      </c>
      <c r="G45" s="241">
        <f>G31*25.4</f>
        <v>0</v>
      </c>
      <c r="H45" s="245">
        <f t="shared" si="15"/>
        <v>0</v>
      </c>
      <c r="I45" s="245">
        <f t="shared" si="16"/>
        <v>0</v>
      </c>
      <c r="J45" s="247">
        <f t="shared" si="17"/>
        <v>0</v>
      </c>
      <c r="K45" s="247">
        <f t="shared" si="17"/>
        <v>0</v>
      </c>
      <c r="L45" s="273">
        <f t="shared" si="17"/>
        <v>0</v>
      </c>
      <c r="M45" s="254">
        <f t="shared" si="11"/>
        <v>0</v>
      </c>
      <c r="N45" s="274"/>
      <c r="O45"/>
      <c r="P45"/>
      <c r="Q45" s="275">
        <f t="shared" si="19"/>
        <v>8.0000000000000002E-3</v>
      </c>
      <c r="R45" s="276">
        <v>0.1875</v>
      </c>
    </row>
    <row r="46" spans="1:18">
      <c r="A46" s="271">
        <v>10</v>
      </c>
      <c r="B46" s="241">
        <f t="shared" si="12"/>
        <v>1.8288000000000002</v>
      </c>
      <c r="C46" s="241">
        <f t="shared" si="18"/>
        <v>0</v>
      </c>
      <c r="D46" s="241">
        <f t="shared" si="13"/>
        <v>3.1262231907515314</v>
      </c>
      <c r="E46" s="241">
        <f>(4.9*$C$9*(C46-0.3))/$C$16</f>
        <v>-4.3273784615308029E-2</v>
      </c>
      <c r="F46" s="241">
        <f>F32*25.4</f>
        <v>0</v>
      </c>
      <c r="G46" s="241">
        <f>G32*25.4</f>
        <v>0</v>
      </c>
      <c r="H46" s="245">
        <f t="shared" si="15"/>
        <v>0</v>
      </c>
      <c r="I46" s="245">
        <f t="shared" si="16"/>
        <v>0</v>
      </c>
      <c r="J46" s="247">
        <f t="shared" si="17"/>
        <v>0</v>
      </c>
      <c r="K46" s="247">
        <f t="shared" si="17"/>
        <v>0</v>
      </c>
      <c r="L46" s="273">
        <f t="shared" si="17"/>
        <v>0</v>
      </c>
      <c r="M46" s="254">
        <f t="shared" si="11"/>
        <v>0</v>
      </c>
      <c r="N46" s="274"/>
      <c r="O46"/>
      <c r="P46"/>
      <c r="Q46" s="275">
        <f t="shared" si="19"/>
        <v>9.0000000000000011E-3</v>
      </c>
      <c r="R46" s="276">
        <v>0.1875</v>
      </c>
    </row>
    <row r="47" spans="1:18">
      <c r="A47" s="277"/>
      <c r="B47" s="278"/>
      <c r="C47" s="278"/>
      <c r="D47" s="279"/>
      <c r="E47" s="279"/>
      <c r="F47" s="279"/>
      <c r="G47" s="280" t="s">
        <v>1070</v>
      </c>
      <c r="H47" s="281">
        <f>(SUM(H37:H46))*1.05</f>
        <v>5283.6482073408533</v>
      </c>
      <c r="I47" s="282"/>
      <c r="J47" s="282"/>
      <c r="K47" s="282"/>
      <c r="L47" s="282"/>
      <c r="M47" s="283">
        <f t="shared" si="11"/>
        <v>16</v>
      </c>
      <c r="N47" s="274"/>
      <c r="O47"/>
      <c r="P47"/>
      <c r="Q47" s="275">
        <f t="shared" si="19"/>
        <v>1.0000000000000002E-2</v>
      </c>
      <c r="R47" s="276">
        <v>0.1875</v>
      </c>
    </row>
    <row r="48" spans="1:18">
      <c r="A48" s="260"/>
      <c r="B48" s="260"/>
      <c r="C48" s="260"/>
      <c r="D48" s="284"/>
      <c r="E48" s="284"/>
      <c r="F48" s="284"/>
      <c r="G48" s="162"/>
      <c r="H48" s="162"/>
      <c r="I48" s="162"/>
      <c r="J48" s="285"/>
      <c r="K48"/>
      <c r="L48"/>
      <c r="M48"/>
      <c r="N48" s="274"/>
      <c r="O48"/>
      <c r="P48"/>
      <c r="Q48" s="275">
        <f t="shared" si="19"/>
        <v>1.1000000000000003E-2</v>
      </c>
      <c r="R48" s="276">
        <v>0.1875</v>
      </c>
    </row>
    <row r="49" spans="1:18" ht="18">
      <c r="A49" s="286" t="s">
        <v>1100</v>
      </c>
      <c r="B49" s="287"/>
      <c r="C49" s="287"/>
      <c r="D49" s="287"/>
      <c r="E49" s="288"/>
      <c r="F49" s="286" t="s">
        <v>1078</v>
      </c>
      <c r="G49" s="287"/>
      <c r="H49" s="287"/>
      <c r="I49" s="287"/>
      <c r="J49" s="288"/>
      <c r="K49"/>
      <c r="L49"/>
      <c r="M49"/>
      <c r="N49" s="274"/>
      <c r="O49"/>
      <c r="P49"/>
      <c r="Q49" s="275">
        <f t="shared" si="19"/>
        <v>1.2000000000000004E-2</v>
      </c>
      <c r="R49" s="276">
        <v>0.1875</v>
      </c>
    </row>
    <row r="50" spans="1:18">
      <c r="A50" s="289" t="s">
        <v>1101</v>
      </c>
      <c r="B50" s="290">
        <f>3/16</f>
        <v>0.1875</v>
      </c>
      <c r="C50" s="174" t="s">
        <v>1040</v>
      </c>
      <c r="D50" s="291">
        <f>B50*25.4</f>
        <v>4.7624999999999993</v>
      </c>
      <c r="E50" s="292" t="s">
        <v>1036</v>
      </c>
      <c r="F50" s="289" t="s">
        <v>1079</v>
      </c>
      <c r="G50" s="293">
        <v>0.375</v>
      </c>
      <c r="H50" s="174" t="s">
        <v>1040</v>
      </c>
      <c r="I50" s="187">
        <f>G50*25.4</f>
        <v>9.5249999999999986</v>
      </c>
      <c r="J50" s="188" t="s">
        <v>1036</v>
      </c>
      <c r="K50"/>
      <c r="L50"/>
      <c r="M50"/>
      <c r="N50" s="274"/>
      <c r="O50"/>
      <c r="P50"/>
      <c r="Q50" s="275">
        <f t="shared" si="19"/>
        <v>1.3000000000000005E-2</v>
      </c>
      <c r="R50" s="276">
        <v>0.1875</v>
      </c>
    </row>
    <row r="51" spans="1:18">
      <c r="A51" s="294" t="s">
        <v>1102</v>
      </c>
      <c r="B51" s="295">
        <f>(B50+E13)*1.125</f>
        <v>0.28125</v>
      </c>
      <c r="C51" s="204" t="s">
        <v>1040</v>
      </c>
      <c r="D51" s="291">
        <f>B51*25.4</f>
        <v>7.1437499999999998</v>
      </c>
      <c r="E51" s="292" t="s">
        <v>1036</v>
      </c>
      <c r="F51" s="294" t="s">
        <v>1080</v>
      </c>
      <c r="G51" s="296">
        <f>G50+E12</f>
        <v>0.5</v>
      </c>
      <c r="H51" s="212" t="s">
        <v>1040</v>
      </c>
      <c r="I51" s="297">
        <f>G51*25.4</f>
        <v>12.7</v>
      </c>
      <c r="J51" s="292" t="s">
        <v>1036</v>
      </c>
      <c r="K51"/>
      <c r="L51"/>
      <c r="M51"/>
      <c r="N51" s="274"/>
      <c r="O51"/>
      <c r="P51"/>
      <c r="Q51" s="275">
        <f t="shared" si="19"/>
        <v>1.4000000000000005E-2</v>
      </c>
      <c r="R51" s="276">
        <v>0.1875</v>
      </c>
    </row>
    <row r="52" spans="1:18">
      <c r="A52" s="294" t="s">
        <v>1081</v>
      </c>
      <c r="B52" s="298">
        <v>0.3125</v>
      </c>
      <c r="C52" s="299" t="s">
        <v>1040</v>
      </c>
      <c r="D52" s="291">
        <f>B52*25.4</f>
        <v>7.9375</v>
      </c>
      <c r="E52" s="292" t="s">
        <v>1036</v>
      </c>
      <c r="F52" s="294" t="s">
        <v>1081</v>
      </c>
      <c r="G52" s="298">
        <v>0.5</v>
      </c>
      <c r="H52" s="299" t="s">
        <v>1040</v>
      </c>
      <c r="I52" s="297">
        <f>G52*25.4</f>
        <v>12.7</v>
      </c>
      <c r="J52" s="292" t="s">
        <v>1036</v>
      </c>
      <c r="K52"/>
      <c r="L52"/>
      <c r="M52"/>
      <c r="N52" s="274"/>
      <c r="O52"/>
      <c r="P52"/>
      <c r="Q52" s="275">
        <f t="shared" si="19"/>
        <v>1.5000000000000006E-2</v>
      </c>
      <c r="R52" s="276">
        <v>0.1875</v>
      </c>
    </row>
    <row r="53" spans="1:18">
      <c r="A53" s="877" t="s">
        <v>1103</v>
      </c>
      <c r="B53" s="877"/>
      <c r="C53" s="173">
        <f>TANH(1/16)*180/PI()</f>
        <v>3.5763307511284013</v>
      </c>
      <c r="D53" s="878" t="s">
        <v>1083</v>
      </c>
      <c r="E53" s="878"/>
      <c r="F53" s="877" t="s">
        <v>1082</v>
      </c>
      <c r="G53" s="877"/>
      <c r="H53" s="173">
        <f>TANH(1/120)*180/PI()</f>
        <v>0.47745377715608556</v>
      </c>
      <c r="I53" s="878" t="s">
        <v>1083</v>
      </c>
      <c r="J53" s="878"/>
      <c r="K53"/>
      <c r="L53"/>
      <c r="M53"/>
      <c r="N53" s="274"/>
      <c r="O53"/>
      <c r="P53"/>
      <c r="Q53" s="275">
        <f t="shared" si="19"/>
        <v>1.6000000000000007E-2</v>
      </c>
      <c r="R53" s="276">
        <v>0.1875</v>
      </c>
    </row>
    <row r="54" spans="1:18">
      <c r="A54" s="300"/>
      <c r="B54" s="875" t="s">
        <v>1024</v>
      </c>
      <c r="C54" s="875"/>
      <c r="D54" s="876" t="s">
        <v>1025</v>
      </c>
      <c r="E54" s="876"/>
      <c r="F54" s="301"/>
      <c r="G54" s="857" t="s">
        <v>1024</v>
      </c>
      <c r="H54" s="857"/>
      <c r="I54" s="876" t="s">
        <v>1025</v>
      </c>
      <c r="J54" s="876"/>
      <c r="K54"/>
      <c r="L54"/>
      <c r="M54"/>
      <c r="N54" s="274"/>
      <c r="O54"/>
      <c r="P54"/>
      <c r="Q54" s="275">
        <f t="shared" si="19"/>
        <v>1.7000000000000008E-2</v>
      </c>
      <c r="R54" s="276">
        <v>0.1875</v>
      </c>
    </row>
    <row r="55" spans="1:18">
      <c r="A55" s="302" t="s">
        <v>1084</v>
      </c>
      <c r="B55" s="303">
        <v>7850</v>
      </c>
      <c r="C55" s="183" t="s">
        <v>1085</v>
      </c>
      <c r="D55" s="303">
        <v>500</v>
      </c>
      <c r="E55" s="190" t="s">
        <v>1086</v>
      </c>
      <c r="F55" s="302" t="s">
        <v>1084</v>
      </c>
      <c r="G55" s="303">
        <v>7850</v>
      </c>
      <c r="H55" s="183" t="s">
        <v>1085</v>
      </c>
      <c r="I55" s="303">
        <v>500</v>
      </c>
      <c r="J55" s="190" t="s">
        <v>1086</v>
      </c>
      <c r="K55"/>
      <c r="L55"/>
      <c r="M55"/>
      <c r="N55" s="274"/>
      <c r="O55"/>
      <c r="P55"/>
      <c r="Q55" s="275">
        <f t="shared" si="19"/>
        <v>1.8000000000000009E-2</v>
      </c>
      <c r="R55" s="276">
        <v>0.1875</v>
      </c>
    </row>
    <row r="56" spans="1:18">
      <c r="A56" s="302" t="s">
        <v>1087</v>
      </c>
      <c r="B56" s="304">
        <f>(B58^2-B57^2)^0.5</f>
        <v>0.17938731775487235</v>
      </c>
      <c r="C56" s="174" t="s">
        <v>1028</v>
      </c>
      <c r="D56" s="304">
        <f>(D58^2-D57^2)^0.5</f>
        <v>0.58854106874959833</v>
      </c>
      <c r="E56" s="292" t="s">
        <v>1029</v>
      </c>
      <c r="F56" s="305" t="s">
        <v>1087</v>
      </c>
      <c r="G56" s="304">
        <f>(G58^2-G57^2)^0.5</f>
        <v>2.5188333325194913E-2</v>
      </c>
      <c r="H56" s="174" t="s">
        <v>1028</v>
      </c>
      <c r="I56" s="304">
        <f>(I58^2-I57^2)^0.5</f>
        <v>8.2638888862229448E-2</v>
      </c>
      <c r="J56" s="292" t="s">
        <v>1029</v>
      </c>
      <c r="K56"/>
      <c r="L56"/>
      <c r="M56"/>
      <c r="N56" s="274"/>
      <c r="O56"/>
      <c r="P56"/>
      <c r="Q56" s="275">
        <f t="shared" si="19"/>
        <v>1.900000000000001E-2</v>
      </c>
      <c r="R56" s="276">
        <v>0.1875</v>
      </c>
    </row>
    <row r="57" spans="1:18">
      <c r="A57" s="302" t="s">
        <v>1089</v>
      </c>
      <c r="B57" s="306">
        <f>D57*0.3048</f>
        <v>2.8701999999949201</v>
      </c>
      <c r="C57" s="307" t="s">
        <v>1028</v>
      </c>
      <c r="D57" s="306">
        <f>E9/2</f>
        <v>9.4166666666500003</v>
      </c>
      <c r="E57" s="190" t="s">
        <v>1029</v>
      </c>
      <c r="F57" s="305" t="s">
        <v>1089</v>
      </c>
      <c r="G57" s="306">
        <f>I57*0.3048</f>
        <v>3.0225999999949202</v>
      </c>
      <c r="H57" s="307" t="s">
        <v>1028</v>
      </c>
      <c r="I57" s="306">
        <f>E9/2+0.5</f>
        <v>9.9166666666500003</v>
      </c>
      <c r="J57" s="190" t="s">
        <v>1029</v>
      </c>
      <c r="K57"/>
      <c r="L57"/>
      <c r="M57"/>
      <c r="N57" s="274"/>
      <c r="O57"/>
      <c r="P57"/>
      <c r="Q57" s="275">
        <f t="shared" si="19"/>
        <v>2.0000000000000011E-2</v>
      </c>
      <c r="R57" s="276">
        <v>0.1875</v>
      </c>
    </row>
    <row r="58" spans="1:18">
      <c r="A58" s="302" t="s">
        <v>1088</v>
      </c>
      <c r="B58" s="304">
        <f>B57/(COS(C53*2*PI()/360))</f>
        <v>2.8758003841960464</v>
      </c>
      <c r="C58" s="308" t="s">
        <v>1028</v>
      </c>
      <c r="D58" s="304">
        <f>B58/0.3048</f>
        <v>9.4350406305644565</v>
      </c>
      <c r="E58" s="292" t="s">
        <v>1029</v>
      </c>
      <c r="F58" s="305" t="s">
        <v>1088</v>
      </c>
      <c r="G58" s="304">
        <f>G57/(COS(H53*PI()/180))</f>
        <v>3.022704949561732</v>
      </c>
      <c r="H58" s="308" t="s">
        <v>1028</v>
      </c>
      <c r="I58" s="304">
        <f>G58/0.3048</f>
        <v>9.9170109893757612</v>
      </c>
      <c r="J58" s="292" t="s">
        <v>1029</v>
      </c>
      <c r="K58"/>
      <c r="L58"/>
      <c r="M58"/>
      <c r="N58" s="274"/>
      <c r="O58"/>
      <c r="P58"/>
      <c r="Q58" s="275">
        <f t="shared" si="19"/>
        <v>2.1000000000000012E-2</v>
      </c>
      <c r="R58" s="276">
        <v>0.1875</v>
      </c>
    </row>
    <row r="59" spans="1:18">
      <c r="A59" s="302" t="s">
        <v>1090</v>
      </c>
      <c r="B59" s="306">
        <f>(PI()*B58^2)*1.1</f>
        <v>28.579855761889938</v>
      </c>
      <c r="C59" s="307" t="s">
        <v>1091</v>
      </c>
      <c r="D59" s="306">
        <f>(PI()*D58^2)*1.1</f>
        <v>307.63100714346848</v>
      </c>
      <c r="E59" s="190" t="s">
        <v>1092</v>
      </c>
      <c r="F59" s="305" t="s">
        <v>1090</v>
      </c>
      <c r="G59" s="306">
        <f>(PI()*G58^2)</f>
        <v>28.703931636070759</v>
      </c>
      <c r="H59" s="307" t="s">
        <v>1091</v>
      </c>
      <c r="I59" s="306">
        <f>(PI()*I58^2)</f>
        <v>308.96654873802578</v>
      </c>
      <c r="J59" s="190" t="s">
        <v>1092</v>
      </c>
      <c r="K59"/>
      <c r="L59"/>
      <c r="M59"/>
      <c r="N59" s="274"/>
      <c r="O59"/>
      <c r="P59"/>
      <c r="Q59" s="275">
        <f t="shared" si="19"/>
        <v>2.2000000000000013E-2</v>
      </c>
      <c r="R59" s="276">
        <v>0.1875</v>
      </c>
    </row>
    <row r="60" spans="1:18">
      <c r="A60" s="302" t="s">
        <v>1093</v>
      </c>
      <c r="B60" s="309">
        <f>D52</f>
        <v>7.9375</v>
      </c>
      <c r="C60" s="308" t="s">
        <v>1036</v>
      </c>
      <c r="D60" s="304">
        <f>B52</f>
        <v>0.3125</v>
      </c>
      <c r="E60" s="292" t="s">
        <v>1040</v>
      </c>
      <c r="F60" s="305" t="s">
        <v>1093</v>
      </c>
      <c r="G60" s="310">
        <f>I52</f>
        <v>12.7</v>
      </c>
      <c r="H60" s="308" t="s">
        <v>1036</v>
      </c>
      <c r="I60" s="311">
        <f>G51</f>
        <v>0.5</v>
      </c>
      <c r="J60" s="292" t="s">
        <v>1040</v>
      </c>
      <c r="K60"/>
      <c r="L60"/>
      <c r="M60"/>
      <c r="N60" s="274"/>
      <c r="O60"/>
      <c r="P60"/>
      <c r="Q60" s="275">
        <f t="shared" si="19"/>
        <v>2.3000000000000013E-2</v>
      </c>
      <c r="R60" s="276">
        <v>0.1875</v>
      </c>
    </row>
    <row r="61" spans="1:18">
      <c r="A61" s="302" t="s">
        <v>1094</v>
      </c>
      <c r="B61" s="306">
        <f>B59*B60/1000</f>
        <v>0.22685260511000138</v>
      </c>
      <c r="C61" s="307" t="s">
        <v>1020</v>
      </c>
      <c r="D61" s="306">
        <f>D59*D60/12</f>
        <v>8.011224144361158</v>
      </c>
      <c r="E61" s="190" t="s">
        <v>1095</v>
      </c>
      <c r="F61" s="305" t="s">
        <v>1094</v>
      </c>
      <c r="G61" s="306">
        <f>G59*G60/1000</f>
        <v>0.36453993177809862</v>
      </c>
      <c r="H61" s="307" t="s">
        <v>1020</v>
      </c>
      <c r="I61" s="306">
        <f>I59*I60/12</f>
        <v>12.873606197417741</v>
      </c>
      <c r="J61" s="190" t="s">
        <v>1095</v>
      </c>
      <c r="K61"/>
      <c r="L61"/>
      <c r="M61"/>
      <c r="N61" s="274"/>
      <c r="O61"/>
      <c r="P61"/>
      <c r="Q61" s="275">
        <f t="shared" si="19"/>
        <v>2.4000000000000014E-2</v>
      </c>
      <c r="R61" s="276">
        <v>0.1875</v>
      </c>
    </row>
    <row r="62" spans="1:18" ht="26.25">
      <c r="A62" s="312" t="s">
        <v>1096</v>
      </c>
      <c r="B62" s="313">
        <f>+D62</f>
        <v>2.9</v>
      </c>
      <c r="C62" s="308"/>
      <c r="D62" s="313">
        <f>ROUNDUP((D59/(IF(B23=6,(6*20),(8*20))))*1.1,1)</f>
        <v>2.9</v>
      </c>
      <c r="E62" s="292"/>
      <c r="F62" s="305" t="s">
        <v>1096</v>
      </c>
      <c r="G62" s="314">
        <f>+I62</f>
        <v>2.9</v>
      </c>
      <c r="H62" s="315"/>
      <c r="I62" s="314">
        <f>ROUNDUP((I59/(IF(B23=6,(6*20),(8*20))))*1.1,1)</f>
        <v>2.9</v>
      </c>
      <c r="J62" s="188"/>
      <c r="K62"/>
      <c r="L62"/>
      <c r="M62"/>
      <c r="N62" s="274"/>
      <c r="O62"/>
      <c r="P62"/>
      <c r="Q62" s="275">
        <f t="shared" si="19"/>
        <v>2.5000000000000015E-2</v>
      </c>
      <c r="R62" s="276">
        <v>0.1875</v>
      </c>
    </row>
    <row r="63" spans="1:18" ht="39">
      <c r="A63" s="312" t="s">
        <v>1104</v>
      </c>
      <c r="B63" s="316">
        <f>+D63*0.0254</f>
        <v>22.981919999999999</v>
      </c>
      <c r="C63" s="317" t="s">
        <v>1028</v>
      </c>
      <c r="D63" s="318">
        <f>((B62/2)*(IF(B23=6,((6*2)+(20*2)),((8*2)+(20*2)))))*12</f>
        <v>904.8</v>
      </c>
      <c r="E63" s="319" t="s">
        <v>1040</v>
      </c>
      <c r="F63" s="320" t="s">
        <v>1097</v>
      </c>
      <c r="G63" s="321">
        <f>(G61*G55)*1.05</f>
        <v>3004.7203876809781</v>
      </c>
      <c r="H63" s="308" t="s">
        <v>1076</v>
      </c>
      <c r="I63" s="304">
        <f>(I61*I55)*1.1</f>
        <v>7080.4834085797584</v>
      </c>
      <c r="J63" s="188" t="s">
        <v>1098</v>
      </c>
      <c r="K63"/>
      <c r="L63"/>
      <c r="M63"/>
      <c r="N63" s="274"/>
      <c r="O63"/>
      <c r="P63"/>
      <c r="Q63" s="275">
        <f t="shared" si="19"/>
        <v>2.6000000000000016E-2</v>
      </c>
      <c r="R63" s="276">
        <v>0.1875</v>
      </c>
    </row>
    <row r="64" spans="1:18" ht="27" customHeight="1">
      <c r="A64" s="322" t="s">
        <v>1097</v>
      </c>
      <c r="B64" s="323">
        <f>(B61*B55)*1.05</f>
        <v>1869.8325976191866</v>
      </c>
      <c r="C64" s="307" t="s">
        <v>1076</v>
      </c>
      <c r="D64" s="306">
        <f>(D61*D55)*1.05</f>
        <v>4205.8926757896079</v>
      </c>
      <c r="E64" s="190" t="s">
        <v>1098</v>
      </c>
      <c r="F64" s="324" t="s">
        <v>1104</v>
      </c>
      <c r="G64" s="325">
        <f>+I64*0.0254</f>
        <v>22.981919999999999</v>
      </c>
      <c r="H64" s="326" t="s">
        <v>1028</v>
      </c>
      <c r="I64" s="327">
        <f>((G62/2)*(IF(B23=6,((6*2)+(20*2)),((8*2)+(20*2)))))*12</f>
        <v>904.8</v>
      </c>
      <c r="J64" s="328" t="s">
        <v>1040</v>
      </c>
      <c r="K64"/>
      <c r="L64"/>
      <c r="M64"/>
      <c r="N64" s="274"/>
      <c r="O64"/>
      <c r="P64"/>
      <c r="Q64" s="275">
        <f t="shared" si="19"/>
        <v>2.7000000000000017E-2</v>
      </c>
      <c r="R64" s="276">
        <v>0.1875</v>
      </c>
    </row>
    <row r="65" spans="1:18">
      <c r="A65" s="329"/>
      <c r="B65" s="330"/>
      <c r="C65" s="330"/>
      <c r="D65" s="330"/>
      <c r="E65" s="331"/>
      <c r="F65" s="331"/>
      <c r="G65" s="330"/>
      <c r="H65" s="330"/>
      <c r="I65" s="330"/>
      <c r="J65" s="331"/>
      <c r="K65"/>
      <c r="L65"/>
      <c r="M65"/>
      <c r="N65" s="274"/>
      <c r="O65"/>
      <c r="P65"/>
      <c r="Q65" s="275">
        <f t="shared" si="19"/>
        <v>2.8000000000000018E-2</v>
      </c>
      <c r="R65" s="276">
        <v>0.1875</v>
      </c>
    </row>
    <row r="66" spans="1:18">
      <c r="A66" s="332"/>
      <c r="B66" s="249"/>
      <c r="C66" s="249"/>
      <c r="D66" s="249"/>
      <c r="E66" s="333"/>
      <c r="F66" s="334"/>
      <c r="G66" s="249"/>
      <c r="H66" s="335"/>
      <c r="I66" s="249"/>
      <c r="J66" s="336"/>
      <c r="K66"/>
      <c r="L66"/>
      <c r="M66"/>
      <c r="N66" s="274"/>
      <c r="O66"/>
      <c r="P66"/>
      <c r="Q66" s="275">
        <f t="shared" si="19"/>
        <v>2.9000000000000019E-2</v>
      </c>
      <c r="R66" s="276">
        <v>0.1875</v>
      </c>
    </row>
    <row r="67" spans="1:18">
      <c r="A67" s="234"/>
      <c r="B67" s="234"/>
      <c r="C67" s="234"/>
      <c r="D67" s="234"/>
      <c r="E67" s="234"/>
      <c r="F67" s="234"/>
      <c r="G67" s="234"/>
      <c r="H67" s="234"/>
      <c r="I67" s="234"/>
      <c r="J67" s="234"/>
      <c r="K67"/>
      <c r="L67"/>
      <c r="M67"/>
      <c r="N67" s="274"/>
      <c r="O67"/>
      <c r="P67"/>
      <c r="Q67" s="275">
        <f t="shared" si="19"/>
        <v>3.000000000000002E-2</v>
      </c>
      <c r="R67" s="276">
        <v>0.1875</v>
      </c>
    </row>
    <row r="68" spans="1:18">
      <c r="A68" s="334"/>
      <c r="B68" s="337"/>
      <c r="C68"/>
      <c r="D68" s="249"/>
      <c r="E68" s="338"/>
      <c r="F68" s="334"/>
      <c r="G68" s="337"/>
      <c r="H68" s="335"/>
      <c r="I68" s="249"/>
      <c r="J68" s="338"/>
      <c r="K68"/>
      <c r="L68"/>
      <c r="M68"/>
      <c r="N68" s="274"/>
      <c r="O68"/>
      <c r="P68"/>
      <c r="Q68" s="275">
        <f t="shared" si="19"/>
        <v>3.1000000000000021E-2</v>
      </c>
      <c r="R68" s="276">
        <v>0.1875</v>
      </c>
    </row>
    <row r="69" spans="1:18">
      <c r="A69" s="334"/>
      <c r="B69" s="250"/>
      <c r="C69" s="339"/>
      <c r="D69" s="249"/>
      <c r="E69" s="338"/>
      <c r="F69" s="334"/>
      <c r="G69" s="250"/>
      <c r="H69" s="339"/>
      <c r="I69" s="249"/>
      <c r="J69" s="338"/>
      <c r="K69"/>
      <c r="L69"/>
      <c r="M69"/>
      <c r="N69" s="274"/>
      <c r="O69"/>
      <c r="P69"/>
      <c r="Q69" s="275">
        <f t="shared" si="19"/>
        <v>3.2000000000000021E-2</v>
      </c>
      <c r="R69" s="276">
        <v>0.1875</v>
      </c>
    </row>
    <row r="70" spans="1:18">
      <c r="N70" s="340"/>
      <c r="Q70" s="275">
        <f t="shared" si="19"/>
        <v>3.3000000000000022E-2</v>
      </c>
      <c r="R70" s="276">
        <v>0.1875</v>
      </c>
    </row>
    <row r="71" spans="1:18">
      <c r="N71" s="340"/>
      <c r="Q71" s="275">
        <f t="shared" si="19"/>
        <v>3.4000000000000023E-2</v>
      </c>
      <c r="R71" s="276">
        <v>0.1875</v>
      </c>
    </row>
    <row r="72" spans="1:18" ht="9" customHeight="1">
      <c r="N72" s="340"/>
      <c r="Q72" s="275">
        <f t="shared" si="19"/>
        <v>3.5000000000000024E-2</v>
      </c>
      <c r="R72" s="276">
        <v>0.1875</v>
      </c>
    </row>
    <row r="73" spans="1:18">
      <c r="A73" s="214"/>
      <c r="N73" s="340"/>
      <c r="Q73" s="275">
        <f t="shared" si="19"/>
        <v>3.6000000000000025E-2</v>
      </c>
      <c r="R73" s="276">
        <v>0.1875</v>
      </c>
    </row>
    <row r="74" spans="1:18">
      <c r="O74" s="340"/>
      <c r="Q74" s="275">
        <f t="shared" si="19"/>
        <v>3.7000000000000026E-2</v>
      </c>
      <c r="R74" s="276">
        <v>0.1875</v>
      </c>
    </row>
    <row r="75" spans="1:18">
      <c r="O75" s="340"/>
      <c r="Q75" s="275">
        <f t="shared" si="19"/>
        <v>3.8000000000000027E-2</v>
      </c>
      <c r="R75" s="276">
        <v>0.1875</v>
      </c>
    </row>
    <row r="76" spans="1:18">
      <c r="O76" s="340"/>
      <c r="Q76" s="275">
        <f t="shared" si="19"/>
        <v>3.9000000000000028E-2</v>
      </c>
      <c r="R76" s="276">
        <v>0.1875</v>
      </c>
    </row>
    <row r="77" spans="1:18">
      <c r="O77" s="340"/>
      <c r="Q77" s="275">
        <f t="shared" si="19"/>
        <v>4.0000000000000029E-2</v>
      </c>
      <c r="R77" s="276">
        <v>0.1875</v>
      </c>
    </row>
    <row r="78" spans="1:18">
      <c r="O78" s="340"/>
      <c r="Q78" s="275">
        <f t="shared" si="19"/>
        <v>4.1000000000000029E-2</v>
      </c>
      <c r="R78" s="276">
        <v>0.1875</v>
      </c>
    </row>
    <row r="79" spans="1:18">
      <c r="C79" s="214"/>
      <c r="D79" s="214"/>
      <c r="E79" s="214"/>
      <c r="O79" s="340"/>
      <c r="Q79" s="275">
        <f t="shared" si="19"/>
        <v>4.200000000000003E-2</v>
      </c>
      <c r="R79" s="276">
        <v>0.1875</v>
      </c>
    </row>
    <row r="80" spans="1:18">
      <c r="C80" s="214"/>
      <c r="O80" s="340"/>
      <c r="Q80" s="275">
        <f t="shared" si="19"/>
        <v>4.3000000000000031E-2</v>
      </c>
      <c r="R80" s="276">
        <v>0.1875</v>
      </c>
    </row>
    <row r="81" spans="3:18">
      <c r="C81" s="214"/>
      <c r="O81" s="340"/>
      <c r="Q81" s="275">
        <f t="shared" si="19"/>
        <v>4.4000000000000032E-2</v>
      </c>
      <c r="R81" s="276">
        <v>0.1875</v>
      </c>
    </row>
    <row r="82" spans="3:18">
      <c r="C82" s="214"/>
      <c r="O82" s="340"/>
      <c r="Q82" s="275">
        <f t="shared" si="19"/>
        <v>4.5000000000000033E-2</v>
      </c>
      <c r="R82" s="276">
        <v>0.1875</v>
      </c>
    </row>
    <row r="83" spans="3:18">
      <c r="C83" s="214"/>
      <c r="O83" s="340"/>
      <c r="Q83" s="275">
        <f t="shared" si="19"/>
        <v>4.6000000000000034E-2</v>
      </c>
      <c r="R83" s="276">
        <v>0.1875</v>
      </c>
    </row>
    <row r="84" spans="3:18">
      <c r="C84" s="214"/>
      <c r="O84" s="340"/>
      <c r="Q84" s="275">
        <f t="shared" si="19"/>
        <v>4.7000000000000035E-2</v>
      </c>
      <c r="R84" s="276">
        <v>0.1875</v>
      </c>
    </row>
    <row r="85" spans="3:18">
      <c r="O85" s="340"/>
      <c r="Q85" s="275">
        <f t="shared" si="19"/>
        <v>4.8000000000000036E-2</v>
      </c>
      <c r="R85" s="276">
        <v>0.1875</v>
      </c>
    </row>
    <row r="86" spans="3:18">
      <c r="O86" s="340"/>
      <c r="Q86" s="275">
        <f t="shared" si="19"/>
        <v>4.9000000000000037E-2</v>
      </c>
      <c r="R86" s="276">
        <v>0.1875</v>
      </c>
    </row>
    <row r="87" spans="3:18">
      <c r="O87" s="340"/>
      <c r="Q87" s="275">
        <f t="shared" si="19"/>
        <v>5.0000000000000037E-2</v>
      </c>
      <c r="R87" s="276">
        <v>0.1875</v>
      </c>
    </row>
    <row r="88" spans="3:18">
      <c r="O88" s="340"/>
      <c r="Q88" s="275">
        <f t="shared" si="19"/>
        <v>5.1000000000000038E-2</v>
      </c>
      <c r="R88" s="276">
        <v>0.1875</v>
      </c>
    </row>
    <row r="89" spans="3:18">
      <c r="O89" s="340"/>
      <c r="Q89" s="275">
        <f t="shared" si="19"/>
        <v>5.2000000000000039E-2</v>
      </c>
      <c r="R89" s="276">
        <v>0.1875</v>
      </c>
    </row>
    <row r="90" spans="3:18">
      <c r="O90" s="340"/>
      <c r="Q90" s="275">
        <f t="shared" si="19"/>
        <v>5.300000000000004E-2</v>
      </c>
      <c r="R90" s="276">
        <v>0.1875</v>
      </c>
    </row>
    <row r="91" spans="3:18">
      <c r="O91" s="340"/>
      <c r="Q91" s="275">
        <f t="shared" si="19"/>
        <v>5.4000000000000041E-2</v>
      </c>
      <c r="R91" s="276">
        <v>0.1875</v>
      </c>
    </row>
    <row r="92" spans="3:18">
      <c r="O92" s="340"/>
      <c r="Q92" s="275">
        <f t="shared" si="19"/>
        <v>5.5000000000000042E-2</v>
      </c>
      <c r="R92" s="276">
        <v>0.1875</v>
      </c>
    </row>
    <row r="93" spans="3:18">
      <c r="O93" s="340"/>
      <c r="Q93" s="275">
        <f t="shared" si="19"/>
        <v>5.6000000000000043E-2</v>
      </c>
      <c r="R93" s="276">
        <v>0.1875</v>
      </c>
    </row>
    <row r="94" spans="3:18">
      <c r="O94" s="340"/>
      <c r="Q94" s="275">
        <f t="shared" si="19"/>
        <v>5.7000000000000044E-2</v>
      </c>
      <c r="R94" s="276">
        <v>0.1875</v>
      </c>
    </row>
    <row r="95" spans="3:18">
      <c r="O95" s="340"/>
      <c r="Q95" s="275">
        <f t="shared" si="19"/>
        <v>5.8000000000000045E-2</v>
      </c>
      <c r="R95" s="276">
        <v>0.1875</v>
      </c>
    </row>
    <row r="96" spans="3:18">
      <c r="O96" s="340"/>
      <c r="Q96" s="275">
        <f t="shared" si="19"/>
        <v>5.9000000000000045E-2</v>
      </c>
      <c r="R96" s="276">
        <v>0.1875</v>
      </c>
    </row>
    <row r="97" spans="15:18">
      <c r="O97" s="340"/>
      <c r="Q97" s="275">
        <f t="shared" si="19"/>
        <v>6.0000000000000046E-2</v>
      </c>
      <c r="R97" s="276">
        <v>0.1875</v>
      </c>
    </row>
    <row r="98" spans="15:18">
      <c r="O98" s="340"/>
      <c r="Q98" s="275">
        <f t="shared" si="19"/>
        <v>6.1000000000000047E-2</v>
      </c>
      <c r="R98" s="276">
        <v>0.1875</v>
      </c>
    </row>
    <row r="99" spans="15:18">
      <c r="O99" s="340"/>
      <c r="Q99" s="275">
        <f t="shared" si="19"/>
        <v>6.2000000000000048E-2</v>
      </c>
      <c r="R99" s="276">
        <v>0.1875</v>
      </c>
    </row>
    <row r="100" spans="15:18">
      <c r="O100" s="340"/>
      <c r="Q100" s="275">
        <f t="shared" si="19"/>
        <v>6.3000000000000042E-2</v>
      </c>
      <c r="R100" s="276">
        <v>0.1875</v>
      </c>
    </row>
    <row r="101" spans="15:18">
      <c r="O101" s="340"/>
      <c r="Q101" s="275">
        <f t="shared" si="19"/>
        <v>6.4000000000000043E-2</v>
      </c>
      <c r="R101" s="276">
        <v>0.1875</v>
      </c>
    </row>
    <row r="102" spans="15:18">
      <c r="O102" s="340"/>
      <c r="Q102" s="275">
        <f t="shared" si="19"/>
        <v>6.5000000000000044E-2</v>
      </c>
      <c r="R102" s="276">
        <v>0.1875</v>
      </c>
    </row>
    <row r="103" spans="15:18">
      <c r="O103" s="340"/>
      <c r="Q103" s="275">
        <f t="shared" ref="Q103:Q166" si="20">Q102+0.001</f>
        <v>6.6000000000000045E-2</v>
      </c>
      <c r="R103" s="276">
        <v>0.1875</v>
      </c>
    </row>
    <row r="104" spans="15:18">
      <c r="O104" s="340"/>
      <c r="Q104" s="275">
        <f t="shared" si="20"/>
        <v>6.7000000000000046E-2</v>
      </c>
      <c r="R104" s="276">
        <v>0.1875</v>
      </c>
    </row>
    <row r="105" spans="15:18">
      <c r="O105" s="340"/>
      <c r="Q105" s="275">
        <f t="shared" si="20"/>
        <v>6.8000000000000047E-2</v>
      </c>
      <c r="R105" s="276">
        <v>0.1875</v>
      </c>
    </row>
    <row r="106" spans="15:18">
      <c r="O106" s="340"/>
      <c r="Q106" s="275">
        <f t="shared" si="20"/>
        <v>6.9000000000000047E-2</v>
      </c>
      <c r="R106" s="276">
        <v>0.1875</v>
      </c>
    </row>
    <row r="107" spans="15:18">
      <c r="O107" s="340"/>
      <c r="Q107" s="275">
        <f t="shared" si="20"/>
        <v>7.0000000000000048E-2</v>
      </c>
      <c r="R107" s="276">
        <v>0.1875</v>
      </c>
    </row>
    <row r="108" spans="15:18">
      <c r="O108" s="340"/>
      <c r="Q108" s="275">
        <f t="shared" si="20"/>
        <v>7.1000000000000049E-2</v>
      </c>
      <c r="R108" s="276">
        <v>0.1875</v>
      </c>
    </row>
    <row r="109" spans="15:18">
      <c r="O109" s="340"/>
      <c r="Q109" s="275">
        <f t="shared" si="20"/>
        <v>7.200000000000005E-2</v>
      </c>
      <c r="R109" s="276">
        <v>0.1875</v>
      </c>
    </row>
    <row r="110" spans="15:18">
      <c r="O110" s="340"/>
      <c r="Q110" s="275">
        <f t="shared" si="20"/>
        <v>7.3000000000000051E-2</v>
      </c>
      <c r="R110" s="276">
        <v>0.1875</v>
      </c>
    </row>
    <row r="111" spans="15:18">
      <c r="O111" s="340"/>
      <c r="Q111" s="275">
        <f t="shared" si="20"/>
        <v>7.4000000000000052E-2</v>
      </c>
      <c r="R111" s="276">
        <v>0.1875</v>
      </c>
    </row>
    <row r="112" spans="15:18">
      <c r="O112" s="340"/>
      <c r="Q112" s="275">
        <f t="shared" si="20"/>
        <v>7.5000000000000053E-2</v>
      </c>
      <c r="R112" s="276">
        <v>0.1875</v>
      </c>
    </row>
    <row r="113" spans="15:18">
      <c r="O113" s="340"/>
      <c r="Q113" s="275">
        <f t="shared" si="20"/>
        <v>7.6000000000000054E-2</v>
      </c>
      <c r="R113" s="276">
        <v>0.1875</v>
      </c>
    </row>
    <row r="114" spans="15:18">
      <c r="O114" s="340"/>
      <c r="Q114" s="275">
        <f t="shared" si="20"/>
        <v>7.7000000000000055E-2</v>
      </c>
      <c r="R114" s="276">
        <v>0.1875</v>
      </c>
    </row>
    <row r="115" spans="15:18">
      <c r="O115" s="340"/>
      <c r="Q115" s="275">
        <f t="shared" si="20"/>
        <v>7.8000000000000055E-2</v>
      </c>
      <c r="R115" s="276">
        <v>0.1875</v>
      </c>
    </row>
    <row r="116" spans="15:18">
      <c r="O116" s="340"/>
      <c r="Q116" s="275">
        <f t="shared" si="20"/>
        <v>7.9000000000000056E-2</v>
      </c>
      <c r="R116" s="276">
        <v>0.1875</v>
      </c>
    </row>
    <row r="117" spans="15:18">
      <c r="O117" s="340"/>
      <c r="Q117" s="275">
        <f t="shared" si="20"/>
        <v>8.0000000000000057E-2</v>
      </c>
      <c r="R117" s="276">
        <v>0.1875</v>
      </c>
    </row>
    <row r="118" spans="15:18">
      <c r="O118" s="340"/>
      <c r="Q118" s="275">
        <f t="shared" si="20"/>
        <v>8.1000000000000058E-2</v>
      </c>
      <c r="R118" s="276">
        <v>0.1875</v>
      </c>
    </row>
    <row r="119" spans="15:18">
      <c r="O119" s="340"/>
      <c r="Q119" s="275">
        <f t="shared" si="20"/>
        <v>8.2000000000000059E-2</v>
      </c>
      <c r="R119" s="276">
        <v>0.1875</v>
      </c>
    </row>
    <row r="120" spans="15:18">
      <c r="O120" s="340"/>
      <c r="Q120" s="275">
        <f t="shared" si="20"/>
        <v>8.300000000000006E-2</v>
      </c>
      <c r="R120" s="276">
        <v>0.1875</v>
      </c>
    </row>
    <row r="121" spans="15:18">
      <c r="O121" s="340"/>
      <c r="Q121" s="275">
        <f t="shared" si="20"/>
        <v>8.4000000000000061E-2</v>
      </c>
      <c r="R121" s="276">
        <v>0.1875</v>
      </c>
    </row>
    <row r="122" spans="15:18">
      <c r="O122" s="340"/>
      <c r="Q122" s="275">
        <f t="shared" si="20"/>
        <v>8.5000000000000062E-2</v>
      </c>
      <c r="R122" s="276">
        <v>0.1875</v>
      </c>
    </row>
    <row r="123" spans="15:18">
      <c r="O123" s="340"/>
      <c r="Q123" s="275">
        <f t="shared" si="20"/>
        <v>8.6000000000000063E-2</v>
      </c>
      <c r="R123" s="276">
        <v>0.1875</v>
      </c>
    </row>
    <row r="124" spans="15:18">
      <c r="O124" s="340"/>
      <c r="Q124" s="275">
        <f t="shared" si="20"/>
        <v>8.7000000000000063E-2</v>
      </c>
      <c r="R124" s="276">
        <v>0.1875</v>
      </c>
    </row>
    <row r="125" spans="15:18">
      <c r="O125" s="340"/>
      <c r="Q125" s="275">
        <f t="shared" si="20"/>
        <v>8.8000000000000064E-2</v>
      </c>
      <c r="R125" s="276">
        <v>0.1875</v>
      </c>
    </row>
    <row r="126" spans="15:18">
      <c r="O126" s="340"/>
      <c r="Q126" s="275">
        <f t="shared" si="20"/>
        <v>8.9000000000000065E-2</v>
      </c>
      <c r="R126" s="276">
        <v>0.1875</v>
      </c>
    </row>
    <row r="127" spans="15:18">
      <c r="O127" s="340"/>
      <c r="Q127" s="275">
        <f t="shared" si="20"/>
        <v>9.0000000000000066E-2</v>
      </c>
      <c r="R127" s="276">
        <v>0.1875</v>
      </c>
    </row>
    <row r="128" spans="15:18">
      <c r="O128" s="340"/>
      <c r="Q128" s="275">
        <f t="shared" si="20"/>
        <v>9.1000000000000067E-2</v>
      </c>
      <c r="R128" s="276">
        <v>0.1875</v>
      </c>
    </row>
    <row r="129" spans="15:18">
      <c r="O129" s="340"/>
      <c r="Q129" s="275">
        <f t="shared" si="20"/>
        <v>9.2000000000000068E-2</v>
      </c>
      <c r="R129" s="276">
        <v>0.1875</v>
      </c>
    </row>
    <row r="130" spans="15:18">
      <c r="O130" s="340"/>
      <c r="Q130" s="275">
        <f t="shared" si="20"/>
        <v>9.3000000000000069E-2</v>
      </c>
      <c r="R130" s="276">
        <v>0.1875</v>
      </c>
    </row>
    <row r="131" spans="15:18">
      <c r="O131" s="340"/>
      <c r="Q131" s="275">
        <f t="shared" si="20"/>
        <v>9.400000000000007E-2</v>
      </c>
      <c r="R131" s="276">
        <v>0.1875</v>
      </c>
    </row>
    <row r="132" spans="15:18">
      <c r="O132" s="340"/>
      <c r="Q132" s="275">
        <f t="shared" si="20"/>
        <v>9.500000000000007E-2</v>
      </c>
      <c r="R132" s="276">
        <v>0.1875</v>
      </c>
    </row>
    <row r="133" spans="15:18">
      <c r="O133" s="340"/>
      <c r="Q133" s="275">
        <f t="shared" si="20"/>
        <v>9.6000000000000071E-2</v>
      </c>
      <c r="R133" s="276">
        <v>0.1875</v>
      </c>
    </row>
    <row r="134" spans="15:18">
      <c r="O134" s="340"/>
      <c r="Q134" s="275">
        <f t="shared" si="20"/>
        <v>9.7000000000000072E-2</v>
      </c>
      <c r="R134" s="276">
        <v>0.1875</v>
      </c>
    </row>
    <row r="135" spans="15:18">
      <c r="O135" s="340"/>
      <c r="Q135" s="275">
        <f t="shared" si="20"/>
        <v>9.8000000000000073E-2</v>
      </c>
      <c r="R135" s="276">
        <v>0.1875</v>
      </c>
    </row>
    <row r="136" spans="15:18">
      <c r="O136" s="340"/>
      <c r="Q136" s="275">
        <f t="shared" si="20"/>
        <v>9.9000000000000074E-2</v>
      </c>
      <c r="R136" s="276">
        <v>0.1875</v>
      </c>
    </row>
    <row r="137" spans="15:18">
      <c r="O137" s="340"/>
      <c r="Q137" s="275">
        <f t="shared" si="20"/>
        <v>0.10000000000000007</v>
      </c>
      <c r="R137" s="276">
        <v>0.1875</v>
      </c>
    </row>
    <row r="138" spans="15:18">
      <c r="O138" s="340"/>
      <c r="Q138" s="275">
        <f t="shared" si="20"/>
        <v>0.10100000000000008</v>
      </c>
      <c r="R138" s="276">
        <v>0.1875</v>
      </c>
    </row>
    <row r="139" spans="15:18">
      <c r="O139" s="340"/>
      <c r="Q139" s="275">
        <f t="shared" si="20"/>
        <v>0.10200000000000008</v>
      </c>
      <c r="R139" s="276">
        <v>0.1875</v>
      </c>
    </row>
    <row r="140" spans="15:18">
      <c r="O140" s="340"/>
      <c r="Q140" s="275">
        <f t="shared" si="20"/>
        <v>0.10300000000000008</v>
      </c>
      <c r="R140" s="276">
        <v>0.1875</v>
      </c>
    </row>
    <row r="141" spans="15:18">
      <c r="O141" s="340"/>
      <c r="Q141" s="275">
        <f t="shared" si="20"/>
        <v>0.10400000000000008</v>
      </c>
      <c r="R141" s="276">
        <v>0.1875</v>
      </c>
    </row>
    <row r="142" spans="15:18">
      <c r="O142" s="340"/>
      <c r="Q142" s="275">
        <f t="shared" si="20"/>
        <v>0.10500000000000008</v>
      </c>
      <c r="R142" s="276">
        <v>0.1875</v>
      </c>
    </row>
    <row r="143" spans="15:18">
      <c r="O143" s="340"/>
      <c r="Q143" s="275">
        <f t="shared" si="20"/>
        <v>0.10600000000000008</v>
      </c>
      <c r="R143" s="276">
        <v>0.1875</v>
      </c>
    </row>
    <row r="144" spans="15:18">
      <c r="O144" s="340"/>
      <c r="Q144" s="275">
        <f t="shared" si="20"/>
        <v>0.10700000000000008</v>
      </c>
      <c r="R144" s="276">
        <v>0.1875</v>
      </c>
    </row>
    <row r="145" spans="15:18">
      <c r="O145" s="340"/>
      <c r="Q145" s="275">
        <f t="shared" si="20"/>
        <v>0.10800000000000008</v>
      </c>
      <c r="R145" s="276">
        <v>0.1875</v>
      </c>
    </row>
    <row r="146" spans="15:18">
      <c r="O146" s="340"/>
      <c r="Q146" s="275">
        <f t="shared" si="20"/>
        <v>0.10900000000000008</v>
      </c>
      <c r="R146" s="276">
        <v>0.1875</v>
      </c>
    </row>
    <row r="147" spans="15:18">
      <c r="O147" s="340"/>
      <c r="Q147" s="275">
        <f t="shared" si="20"/>
        <v>0.11000000000000008</v>
      </c>
      <c r="R147" s="276">
        <v>0.1875</v>
      </c>
    </row>
    <row r="148" spans="15:18">
      <c r="O148" s="340"/>
      <c r="Q148" s="275">
        <f t="shared" si="20"/>
        <v>0.11100000000000008</v>
      </c>
      <c r="R148" s="276">
        <v>0.1875</v>
      </c>
    </row>
    <row r="149" spans="15:18">
      <c r="O149" s="340"/>
      <c r="Q149" s="275">
        <f t="shared" si="20"/>
        <v>0.11200000000000009</v>
      </c>
      <c r="R149" s="276">
        <v>0.1875</v>
      </c>
    </row>
    <row r="150" spans="15:18">
      <c r="O150" s="340"/>
      <c r="Q150" s="275">
        <f t="shared" si="20"/>
        <v>0.11300000000000009</v>
      </c>
      <c r="R150" s="276">
        <v>0.1875</v>
      </c>
    </row>
    <row r="151" spans="15:18">
      <c r="O151" s="340"/>
      <c r="Q151" s="275">
        <f t="shared" si="20"/>
        <v>0.11400000000000009</v>
      </c>
      <c r="R151" s="276">
        <v>0.1875</v>
      </c>
    </row>
    <row r="152" spans="15:18">
      <c r="O152" s="340"/>
      <c r="Q152" s="275">
        <f t="shared" si="20"/>
        <v>0.11500000000000009</v>
      </c>
      <c r="R152" s="276">
        <v>0.1875</v>
      </c>
    </row>
    <row r="153" spans="15:18">
      <c r="O153" s="340"/>
      <c r="Q153" s="275">
        <f t="shared" si="20"/>
        <v>0.11600000000000009</v>
      </c>
      <c r="R153" s="276">
        <v>0.1875</v>
      </c>
    </row>
    <row r="154" spans="15:18">
      <c r="O154" s="340"/>
      <c r="Q154" s="275">
        <f t="shared" si="20"/>
        <v>0.11700000000000009</v>
      </c>
      <c r="R154" s="276">
        <v>0.1875</v>
      </c>
    </row>
    <row r="155" spans="15:18">
      <c r="O155" s="340"/>
      <c r="Q155" s="275">
        <f t="shared" si="20"/>
        <v>0.11800000000000009</v>
      </c>
      <c r="R155" s="276">
        <v>0.1875</v>
      </c>
    </row>
    <row r="156" spans="15:18">
      <c r="O156" s="340"/>
      <c r="Q156" s="275">
        <f t="shared" si="20"/>
        <v>0.11900000000000009</v>
      </c>
      <c r="R156" s="276">
        <v>0.1875</v>
      </c>
    </row>
    <row r="157" spans="15:18">
      <c r="O157" s="340"/>
      <c r="Q157" s="275">
        <f t="shared" si="20"/>
        <v>0.12000000000000009</v>
      </c>
      <c r="R157" s="276">
        <v>0.1875</v>
      </c>
    </row>
    <row r="158" spans="15:18">
      <c r="O158" s="340"/>
      <c r="Q158" s="275">
        <f t="shared" si="20"/>
        <v>0.12100000000000009</v>
      </c>
      <c r="R158" s="276">
        <v>0.1875</v>
      </c>
    </row>
    <row r="159" spans="15:18">
      <c r="O159" s="340"/>
      <c r="Q159" s="275">
        <f t="shared" si="20"/>
        <v>0.12200000000000009</v>
      </c>
      <c r="R159" s="276">
        <v>0.1875</v>
      </c>
    </row>
    <row r="160" spans="15:18">
      <c r="O160" s="340"/>
      <c r="Q160" s="275">
        <f t="shared" si="20"/>
        <v>0.1230000000000001</v>
      </c>
      <c r="R160" s="276">
        <v>0.1875</v>
      </c>
    </row>
    <row r="161" spans="15:18">
      <c r="O161" s="340"/>
      <c r="Q161" s="275">
        <f t="shared" si="20"/>
        <v>0.1240000000000001</v>
      </c>
      <c r="R161" s="276">
        <v>0.1875</v>
      </c>
    </row>
    <row r="162" spans="15:18">
      <c r="O162" s="340"/>
      <c r="Q162" s="275">
        <f t="shared" si="20"/>
        <v>0.12500000000000008</v>
      </c>
      <c r="R162" s="276">
        <v>0.1875</v>
      </c>
    </row>
    <row r="163" spans="15:18">
      <c r="O163" s="340"/>
      <c r="Q163" s="275">
        <f t="shared" si="20"/>
        <v>0.12600000000000008</v>
      </c>
      <c r="R163" s="276">
        <v>0.1875</v>
      </c>
    </row>
    <row r="164" spans="15:18">
      <c r="O164" s="340"/>
      <c r="Q164" s="275">
        <f t="shared" si="20"/>
        <v>0.12700000000000009</v>
      </c>
      <c r="R164" s="276">
        <v>0.1875</v>
      </c>
    </row>
    <row r="165" spans="15:18">
      <c r="O165" s="340"/>
      <c r="Q165" s="275">
        <f t="shared" si="20"/>
        <v>0.12800000000000009</v>
      </c>
      <c r="R165" s="276">
        <v>0.1875</v>
      </c>
    </row>
    <row r="166" spans="15:18">
      <c r="O166" s="340"/>
      <c r="Q166" s="275">
        <f t="shared" si="20"/>
        <v>0.12900000000000009</v>
      </c>
      <c r="R166" s="276">
        <v>0.1875</v>
      </c>
    </row>
    <row r="167" spans="15:18">
      <c r="O167" s="340"/>
      <c r="Q167" s="275">
        <f t="shared" ref="Q167:Q230" si="21">Q166+0.001</f>
        <v>0.13000000000000009</v>
      </c>
      <c r="R167" s="276">
        <v>0.1875</v>
      </c>
    </row>
    <row r="168" spans="15:18">
      <c r="O168" s="340"/>
      <c r="Q168" s="275">
        <f t="shared" si="21"/>
        <v>0.13100000000000009</v>
      </c>
      <c r="R168" s="276">
        <v>0.1875</v>
      </c>
    </row>
    <row r="169" spans="15:18">
      <c r="O169" s="340"/>
      <c r="Q169" s="275">
        <f t="shared" si="21"/>
        <v>0.13200000000000009</v>
      </c>
      <c r="R169" s="276">
        <v>0.1875</v>
      </c>
    </row>
    <row r="170" spans="15:18">
      <c r="O170" s="340"/>
      <c r="Q170" s="275">
        <f t="shared" si="21"/>
        <v>0.13300000000000009</v>
      </c>
      <c r="R170" s="276">
        <v>0.1875</v>
      </c>
    </row>
    <row r="171" spans="15:18">
      <c r="O171" s="340"/>
      <c r="Q171" s="275">
        <f t="shared" si="21"/>
        <v>0.13400000000000009</v>
      </c>
      <c r="R171" s="276">
        <v>0.1875</v>
      </c>
    </row>
    <row r="172" spans="15:18">
      <c r="O172" s="340"/>
      <c r="Q172" s="275">
        <f t="shared" si="21"/>
        <v>0.13500000000000009</v>
      </c>
      <c r="R172" s="276">
        <v>0.1875</v>
      </c>
    </row>
    <row r="173" spans="15:18">
      <c r="O173" s="340"/>
      <c r="Q173" s="275">
        <f t="shared" si="21"/>
        <v>0.13600000000000009</v>
      </c>
      <c r="R173" s="276">
        <v>0.1875</v>
      </c>
    </row>
    <row r="174" spans="15:18">
      <c r="O174" s="340"/>
      <c r="Q174" s="275">
        <f t="shared" si="21"/>
        <v>0.13700000000000009</v>
      </c>
      <c r="R174" s="276">
        <v>0.1875</v>
      </c>
    </row>
    <row r="175" spans="15:18">
      <c r="O175" s="340"/>
      <c r="Q175" s="275">
        <f t="shared" si="21"/>
        <v>0.13800000000000009</v>
      </c>
      <c r="R175" s="276">
        <v>0.1875</v>
      </c>
    </row>
    <row r="176" spans="15:18">
      <c r="O176" s="340"/>
      <c r="Q176" s="275">
        <f t="shared" si="21"/>
        <v>0.1390000000000001</v>
      </c>
      <c r="R176" s="276">
        <v>0.1875</v>
      </c>
    </row>
    <row r="177" spans="15:18">
      <c r="O177" s="340"/>
      <c r="Q177" s="275">
        <f t="shared" si="21"/>
        <v>0.1400000000000001</v>
      </c>
      <c r="R177" s="276">
        <v>0.1875</v>
      </c>
    </row>
    <row r="178" spans="15:18">
      <c r="O178" s="340"/>
      <c r="Q178" s="275">
        <f t="shared" si="21"/>
        <v>0.1410000000000001</v>
      </c>
      <c r="R178" s="276">
        <v>0.1875</v>
      </c>
    </row>
    <row r="179" spans="15:18">
      <c r="O179" s="340"/>
      <c r="Q179" s="275">
        <f t="shared" si="21"/>
        <v>0.1420000000000001</v>
      </c>
      <c r="R179" s="276">
        <v>0.1875</v>
      </c>
    </row>
    <row r="180" spans="15:18">
      <c r="O180" s="340"/>
      <c r="Q180" s="275">
        <f t="shared" si="21"/>
        <v>0.1430000000000001</v>
      </c>
      <c r="R180" s="276">
        <v>0.1875</v>
      </c>
    </row>
    <row r="181" spans="15:18">
      <c r="O181" s="340"/>
      <c r="Q181" s="275">
        <f t="shared" si="21"/>
        <v>0.1440000000000001</v>
      </c>
      <c r="R181" s="276">
        <v>0.1875</v>
      </c>
    </row>
    <row r="182" spans="15:18">
      <c r="O182" s="340"/>
      <c r="Q182" s="275">
        <f t="shared" si="21"/>
        <v>0.1450000000000001</v>
      </c>
      <c r="R182" s="276">
        <v>0.1875</v>
      </c>
    </row>
    <row r="183" spans="15:18">
      <c r="O183" s="340"/>
      <c r="Q183" s="275">
        <f t="shared" si="21"/>
        <v>0.1460000000000001</v>
      </c>
      <c r="R183" s="276">
        <v>0.1875</v>
      </c>
    </row>
    <row r="184" spans="15:18">
      <c r="O184" s="340"/>
      <c r="Q184" s="275">
        <f t="shared" si="21"/>
        <v>0.1470000000000001</v>
      </c>
      <c r="R184" s="276">
        <v>0.1875</v>
      </c>
    </row>
    <row r="185" spans="15:18">
      <c r="O185" s="340"/>
      <c r="Q185" s="275">
        <f t="shared" si="21"/>
        <v>0.1480000000000001</v>
      </c>
      <c r="R185" s="276">
        <v>0.1875</v>
      </c>
    </row>
    <row r="186" spans="15:18">
      <c r="O186" s="340"/>
      <c r="Q186" s="275">
        <f t="shared" si="21"/>
        <v>0.1490000000000001</v>
      </c>
      <c r="R186" s="276">
        <v>0.1875</v>
      </c>
    </row>
    <row r="187" spans="15:18">
      <c r="O187" s="340"/>
      <c r="Q187" s="275">
        <f t="shared" si="21"/>
        <v>0.15000000000000011</v>
      </c>
      <c r="R187" s="276">
        <v>0.1875</v>
      </c>
    </row>
    <row r="188" spans="15:18">
      <c r="O188" s="340"/>
      <c r="Q188" s="275">
        <f t="shared" si="21"/>
        <v>0.15100000000000011</v>
      </c>
      <c r="R188" s="276">
        <v>0.1875</v>
      </c>
    </row>
    <row r="189" spans="15:18">
      <c r="O189" s="340"/>
      <c r="Q189" s="275">
        <f t="shared" si="21"/>
        <v>0.15200000000000011</v>
      </c>
      <c r="R189" s="276">
        <v>0.1875</v>
      </c>
    </row>
    <row r="190" spans="15:18">
      <c r="O190" s="340"/>
      <c r="Q190" s="275">
        <f t="shared" si="21"/>
        <v>0.15300000000000011</v>
      </c>
      <c r="R190" s="276">
        <v>0.1875</v>
      </c>
    </row>
    <row r="191" spans="15:18">
      <c r="O191" s="340"/>
      <c r="Q191" s="275">
        <f t="shared" si="21"/>
        <v>0.15400000000000011</v>
      </c>
      <c r="R191" s="276">
        <v>0.1875</v>
      </c>
    </row>
    <row r="192" spans="15:18">
      <c r="O192" s="340"/>
      <c r="Q192" s="275">
        <f t="shared" si="21"/>
        <v>0.15500000000000011</v>
      </c>
      <c r="R192" s="276">
        <v>0.1875</v>
      </c>
    </row>
    <row r="193" spans="15:18">
      <c r="O193" s="340"/>
      <c r="Q193" s="275">
        <f t="shared" si="21"/>
        <v>0.15600000000000011</v>
      </c>
      <c r="R193" s="276">
        <v>0.1875</v>
      </c>
    </row>
    <row r="194" spans="15:18">
      <c r="O194" s="340"/>
      <c r="Q194" s="275">
        <f t="shared" si="21"/>
        <v>0.15700000000000011</v>
      </c>
      <c r="R194" s="276">
        <v>0.1875</v>
      </c>
    </row>
    <row r="195" spans="15:18">
      <c r="O195" s="340"/>
      <c r="Q195" s="275">
        <f t="shared" si="21"/>
        <v>0.15800000000000011</v>
      </c>
      <c r="R195" s="276">
        <v>0.1875</v>
      </c>
    </row>
    <row r="196" spans="15:18">
      <c r="O196" s="340"/>
      <c r="Q196" s="275">
        <f t="shared" si="21"/>
        <v>0.15900000000000011</v>
      </c>
      <c r="R196" s="276">
        <v>0.1875</v>
      </c>
    </row>
    <row r="197" spans="15:18">
      <c r="O197" s="340"/>
      <c r="Q197" s="275">
        <f t="shared" si="21"/>
        <v>0.16000000000000011</v>
      </c>
      <c r="R197" s="276">
        <v>0.1875</v>
      </c>
    </row>
    <row r="198" spans="15:18">
      <c r="O198" s="340"/>
      <c r="Q198" s="275">
        <f t="shared" si="21"/>
        <v>0.16100000000000012</v>
      </c>
      <c r="R198" s="276">
        <v>0.1875</v>
      </c>
    </row>
    <row r="199" spans="15:18">
      <c r="O199" s="340"/>
      <c r="Q199" s="275">
        <f t="shared" si="21"/>
        <v>0.16200000000000012</v>
      </c>
      <c r="R199" s="276">
        <v>0.1875</v>
      </c>
    </row>
    <row r="200" spans="15:18">
      <c r="O200" s="340"/>
      <c r="Q200" s="275">
        <f t="shared" si="21"/>
        <v>0.16300000000000012</v>
      </c>
      <c r="R200" s="276">
        <v>0.1875</v>
      </c>
    </row>
    <row r="201" spans="15:18">
      <c r="O201" s="340"/>
      <c r="Q201" s="275">
        <f t="shared" si="21"/>
        <v>0.16400000000000012</v>
      </c>
      <c r="R201" s="276">
        <v>0.1875</v>
      </c>
    </row>
    <row r="202" spans="15:18">
      <c r="O202" s="340"/>
      <c r="Q202" s="275">
        <f t="shared" si="21"/>
        <v>0.16500000000000012</v>
      </c>
      <c r="R202" s="276">
        <v>0.1875</v>
      </c>
    </row>
    <row r="203" spans="15:18">
      <c r="O203" s="340"/>
      <c r="Q203" s="275">
        <f t="shared" si="21"/>
        <v>0.16600000000000012</v>
      </c>
      <c r="R203" s="276">
        <v>0.1875</v>
      </c>
    </row>
    <row r="204" spans="15:18">
      <c r="O204" s="340"/>
      <c r="Q204" s="275">
        <f t="shared" si="21"/>
        <v>0.16700000000000012</v>
      </c>
      <c r="R204" s="276">
        <v>0.1875</v>
      </c>
    </row>
    <row r="205" spans="15:18">
      <c r="O205" s="340"/>
      <c r="Q205" s="275">
        <f t="shared" si="21"/>
        <v>0.16800000000000012</v>
      </c>
      <c r="R205" s="276">
        <v>0.1875</v>
      </c>
    </row>
    <row r="206" spans="15:18">
      <c r="O206" s="340"/>
      <c r="Q206" s="275">
        <f t="shared" si="21"/>
        <v>0.16900000000000012</v>
      </c>
      <c r="R206" s="276">
        <v>0.1875</v>
      </c>
    </row>
    <row r="207" spans="15:18">
      <c r="O207" s="340"/>
      <c r="Q207" s="275">
        <f t="shared" si="21"/>
        <v>0.17000000000000012</v>
      </c>
      <c r="R207" s="276">
        <v>0.1875</v>
      </c>
    </row>
    <row r="208" spans="15:18">
      <c r="O208" s="340"/>
      <c r="Q208" s="275">
        <f t="shared" si="21"/>
        <v>0.17100000000000012</v>
      </c>
      <c r="R208" s="276">
        <v>0.1875</v>
      </c>
    </row>
    <row r="209" spans="15:18">
      <c r="O209" s="340"/>
      <c r="Q209" s="275">
        <f t="shared" si="21"/>
        <v>0.17200000000000013</v>
      </c>
      <c r="R209" s="276">
        <v>0.1875</v>
      </c>
    </row>
    <row r="210" spans="15:18">
      <c r="O210" s="340"/>
      <c r="Q210" s="275">
        <f t="shared" si="21"/>
        <v>0.17300000000000013</v>
      </c>
      <c r="R210" s="276">
        <v>0.1875</v>
      </c>
    </row>
    <row r="211" spans="15:18">
      <c r="O211" s="340"/>
      <c r="Q211" s="275">
        <f t="shared" si="21"/>
        <v>0.17400000000000013</v>
      </c>
      <c r="R211" s="276">
        <v>0.1875</v>
      </c>
    </row>
    <row r="212" spans="15:18">
      <c r="O212" s="340"/>
      <c r="Q212" s="275">
        <f t="shared" si="21"/>
        <v>0.17500000000000013</v>
      </c>
      <c r="R212" s="276">
        <v>0.1875</v>
      </c>
    </row>
    <row r="213" spans="15:18">
      <c r="O213" s="340"/>
      <c r="Q213" s="275">
        <f t="shared" si="21"/>
        <v>0.17600000000000013</v>
      </c>
      <c r="R213" s="276">
        <v>0.1875</v>
      </c>
    </row>
    <row r="214" spans="15:18">
      <c r="O214" s="340"/>
      <c r="Q214" s="275">
        <f t="shared" si="21"/>
        <v>0.17700000000000013</v>
      </c>
      <c r="R214" s="276">
        <v>0.1875</v>
      </c>
    </row>
    <row r="215" spans="15:18">
      <c r="O215" s="340"/>
      <c r="Q215" s="275">
        <f t="shared" si="21"/>
        <v>0.17800000000000013</v>
      </c>
      <c r="R215" s="276">
        <v>0.1875</v>
      </c>
    </row>
    <row r="216" spans="15:18">
      <c r="O216" s="340"/>
      <c r="Q216" s="275">
        <f t="shared" si="21"/>
        <v>0.17900000000000013</v>
      </c>
      <c r="R216" s="276">
        <v>0.1875</v>
      </c>
    </row>
    <row r="217" spans="15:18">
      <c r="O217" s="340"/>
      <c r="Q217" s="275">
        <f t="shared" si="21"/>
        <v>0.18000000000000013</v>
      </c>
      <c r="R217" s="276">
        <v>0.1875</v>
      </c>
    </row>
    <row r="218" spans="15:18">
      <c r="O218" s="340"/>
      <c r="Q218" s="275">
        <f t="shared" si="21"/>
        <v>0.18100000000000013</v>
      </c>
      <c r="R218" s="276">
        <v>0.1875</v>
      </c>
    </row>
    <row r="219" spans="15:18">
      <c r="O219" s="340"/>
      <c r="Q219" s="275">
        <f t="shared" si="21"/>
        <v>0.18200000000000013</v>
      </c>
      <c r="R219" s="276">
        <v>0.1875</v>
      </c>
    </row>
    <row r="220" spans="15:18">
      <c r="O220" s="340"/>
      <c r="Q220" s="275">
        <f t="shared" si="21"/>
        <v>0.18300000000000013</v>
      </c>
      <c r="R220" s="276">
        <v>0.1875</v>
      </c>
    </row>
    <row r="221" spans="15:18">
      <c r="O221" s="340"/>
      <c r="Q221" s="275">
        <f t="shared" si="21"/>
        <v>0.18400000000000014</v>
      </c>
      <c r="R221" s="276">
        <v>0.1875</v>
      </c>
    </row>
    <row r="222" spans="15:18">
      <c r="O222" s="340"/>
      <c r="Q222" s="275">
        <f t="shared" si="21"/>
        <v>0.18500000000000014</v>
      </c>
      <c r="R222" s="276">
        <v>0.1875</v>
      </c>
    </row>
    <row r="223" spans="15:18">
      <c r="O223" s="340"/>
      <c r="Q223" s="275">
        <f t="shared" si="21"/>
        <v>0.18600000000000014</v>
      </c>
      <c r="R223" s="276">
        <v>0.1875</v>
      </c>
    </row>
    <row r="224" spans="15:18">
      <c r="O224" s="340"/>
      <c r="Q224" s="275">
        <f t="shared" si="21"/>
        <v>0.18700000000000014</v>
      </c>
      <c r="R224" s="276">
        <f t="shared" ref="R224:R255" si="22">1/4</f>
        <v>0.25</v>
      </c>
    </row>
    <row r="225" spans="15:18">
      <c r="O225" s="340"/>
      <c r="Q225" s="275">
        <f t="shared" si="21"/>
        <v>0.18800000000000014</v>
      </c>
      <c r="R225" s="276">
        <f t="shared" si="22"/>
        <v>0.25</v>
      </c>
    </row>
    <row r="226" spans="15:18">
      <c r="O226" s="340"/>
      <c r="Q226" s="275">
        <f t="shared" si="21"/>
        <v>0.18900000000000014</v>
      </c>
      <c r="R226" s="276">
        <f t="shared" si="22"/>
        <v>0.25</v>
      </c>
    </row>
    <row r="227" spans="15:18">
      <c r="O227" s="340"/>
      <c r="Q227" s="275">
        <f t="shared" si="21"/>
        <v>0.19000000000000014</v>
      </c>
      <c r="R227" s="276">
        <f t="shared" si="22"/>
        <v>0.25</v>
      </c>
    </row>
    <row r="228" spans="15:18">
      <c r="O228" s="340"/>
      <c r="Q228" s="275">
        <f t="shared" si="21"/>
        <v>0.19100000000000014</v>
      </c>
      <c r="R228" s="276">
        <f t="shared" si="22"/>
        <v>0.25</v>
      </c>
    </row>
    <row r="229" spans="15:18">
      <c r="O229" s="340"/>
      <c r="Q229" s="275">
        <f t="shared" si="21"/>
        <v>0.19200000000000014</v>
      </c>
      <c r="R229" s="276">
        <f t="shared" si="22"/>
        <v>0.25</v>
      </c>
    </row>
    <row r="230" spans="15:18">
      <c r="O230" s="340"/>
      <c r="Q230" s="275">
        <f t="shared" si="21"/>
        <v>0.19300000000000014</v>
      </c>
      <c r="R230" s="276">
        <f t="shared" si="22"/>
        <v>0.25</v>
      </c>
    </row>
    <row r="231" spans="15:18">
      <c r="O231" s="340"/>
      <c r="Q231" s="275">
        <f t="shared" ref="Q231:Q294" si="23">Q230+0.001</f>
        <v>0.19400000000000014</v>
      </c>
      <c r="R231" s="276">
        <f t="shared" si="22"/>
        <v>0.25</v>
      </c>
    </row>
    <row r="232" spans="15:18">
      <c r="O232" s="340"/>
      <c r="Q232" s="275">
        <f t="shared" si="23"/>
        <v>0.19500000000000015</v>
      </c>
      <c r="R232" s="276">
        <f t="shared" si="22"/>
        <v>0.25</v>
      </c>
    </row>
    <row r="233" spans="15:18">
      <c r="O233" s="340"/>
      <c r="Q233" s="275">
        <f t="shared" si="23"/>
        <v>0.19600000000000015</v>
      </c>
      <c r="R233" s="276">
        <f t="shared" si="22"/>
        <v>0.25</v>
      </c>
    </row>
    <row r="234" spans="15:18">
      <c r="O234" s="340"/>
      <c r="Q234" s="275">
        <f t="shared" si="23"/>
        <v>0.19700000000000015</v>
      </c>
      <c r="R234" s="276">
        <f t="shared" si="22"/>
        <v>0.25</v>
      </c>
    </row>
    <row r="235" spans="15:18">
      <c r="O235" s="340"/>
      <c r="Q235" s="275">
        <f t="shared" si="23"/>
        <v>0.19800000000000015</v>
      </c>
      <c r="R235" s="276">
        <f t="shared" si="22"/>
        <v>0.25</v>
      </c>
    </row>
    <row r="236" spans="15:18">
      <c r="O236" s="340"/>
      <c r="Q236" s="275">
        <f t="shared" si="23"/>
        <v>0.19900000000000015</v>
      </c>
      <c r="R236" s="276">
        <f t="shared" si="22"/>
        <v>0.25</v>
      </c>
    </row>
    <row r="237" spans="15:18">
      <c r="O237" s="340"/>
      <c r="Q237" s="275">
        <f t="shared" si="23"/>
        <v>0.20000000000000015</v>
      </c>
      <c r="R237" s="276">
        <f t="shared" si="22"/>
        <v>0.25</v>
      </c>
    </row>
    <row r="238" spans="15:18">
      <c r="O238" s="340"/>
      <c r="Q238" s="275">
        <f t="shared" si="23"/>
        <v>0.20100000000000015</v>
      </c>
      <c r="R238" s="276">
        <f t="shared" si="22"/>
        <v>0.25</v>
      </c>
    </row>
    <row r="239" spans="15:18">
      <c r="O239" s="340"/>
      <c r="Q239" s="275">
        <f t="shared" si="23"/>
        <v>0.20200000000000015</v>
      </c>
      <c r="R239" s="276">
        <f t="shared" si="22"/>
        <v>0.25</v>
      </c>
    </row>
    <row r="240" spans="15:18">
      <c r="O240" s="340"/>
      <c r="Q240" s="275">
        <f t="shared" si="23"/>
        <v>0.20300000000000015</v>
      </c>
      <c r="R240" s="276">
        <f t="shared" si="22"/>
        <v>0.25</v>
      </c>
    </row>
    <row r="241" spans="15:18">
      <c r="O241" s="340"/>
      <c r="Q241" s="275">
        <f t="shared" si="23"/>
        <v>0.20400000000000015</v>
      </c>
      <c r="R241" s="276">
        <f t="shared" si="22"/>
        <v>0.25</v>
      </c>
    </row>
    <row r="242" spans="15:18">
      <c r="O242" s="340"/>
      <c r="Q242" s="275">
        <f t="shared" si="23"/>
        <v>0.20500000000000015</v>
      </c>
      <c r="R242" s="276">
        <f t="shared" si="22"/>
        <v>0.25</v>
      </c>
    </row>
    <row r="243" spans="15:18">
      <c r="O243" s="340"/>
      <c r="Q243" s="275">
        <f t="shared" si="23"/>
        <v>0.20600000000000016</v>
      </c>
      <c r="R243" s="276">
        <f t="shared" si="22"/>
        <v>0.25</v>
      </c>
    </row>
    <row r="244" spans="15:18">
      <c r="O244" s="340"/>
      <c r="Q244" s="275">
        <f t="shared" si="23"/>
        <v>0.20700000000000016</v>
      </c>
      <c r="R244" s="276">
        <f t="shared" si="22"/>
        <v>0.25</v>
      </c>
    </row>
    <row r="245" spans="15:18">
      <c r="O245" s="340"/>
      <c r="Q245" s="275">
        <f t="shared" si="23"/>
        <v>0.20800000000000016</v>
      </c>
      <c r="R245" s="276">
        <f t="shared" si="22"/>
        <v>0.25</v>
      </c>
    </row>
    <row r="246" spans="15:18">
      <c r="O246" s="340"/>
      <c r="Q246" s="275">
        <f t="shared" si="23"/>
        <v>0.20900000000000016</v>
      </c>
      <c r="R246" s="276">
        <f t="shared" si="22"/>
        <v>0.25</v>
      </c>
    </row>
    <row r="247" spans="15:18">
      <c r="O247" s="340"/>
      <c r="Q247" s="275">
        <f t="shared" si="23"/>
        <v>0.21000000000000016</v>
      </c>
      <c r="R247" s="276">
        <f t="shared" si="22"/>
        <v>0.25</v>
      </c>
    </row>
    <row r="248" spans="15:18">
      <c r="O248" s="340"/>
      <c r="Q248" s="275">
        <f t="shared" si="23"/>
        <v>0.21100000000000016</v>
      </c>
      <c r="R248" s="276">
        <f t="shared" si="22"/>
        <v>0.25</v>
      </c>
    </row>
    <row r="249" spans="15:18">
      <c r="O249" s="340"/>
      <c r="Q249" s="275">
        <f t="shared" si="23"/>
        <v>0.21200000000000016</v>
      </c>
      <c r="R249" s="276">
        <f t="shared" si="22"/>
        <v>0.25</v>
      </c>
    </row>
    <row r="250" spans="15:18">
      <c r="O250" s="340"/>
      <c r="Q250" s="275">
        <f t="shared" si="23"/>
        <v>0.21300000000000016</v>
      </c>
      <c r="R250" s="276">
        <f t="shared" si="22"/>
        <v>0.25</v>
      </c>
    </row>
    <row r="251" spans="15:18">
      <c r="O251" s="340"/>
      <c r="Q251" s="275">
        <f t="shared" si="23"/>
        <v>0.21400000000000016</v>
      </c>
      <c r="R251" s="276">
        <f t="shared" si="22"/>
        <v>0.25</v>
      </c>
    </row>
    <row r="252" spans="15:18">
      <c r="O252" s="340"/>
      <c r="Q252" s="275">
        <f t="shared" si="23"/>
        <v>0.21500000000000016</v>
      </c>
      <c r="R252" s="276">
        <f t="shared" si="22"/>
        <v>0.25</v>
      </c>
    </row>
    <row r="253" spans="15:18">
      <c r="O253" s="340"/>
      <c r="Q253" s="275">
        <f t="shared" si="23"/>
        <v>0.21600000000000016</v>
      </c>
      <c r="R253" s="276">
        <f t="shared" si="22"/>
        <v>0.25</v>
      </c>
    </row>
    <row r="254" spans="15:18">
      <c r="O254" s="340"/>
      <c r="Q254" s="275">
        <f t="shared" si="23"/>
        <v>0.21700000000000016</v>
      </c>
      <c r="R254" s="276">
        <f t="shared" si="22"/>
        <v>0.25</v>
      </c>
    </row>
    <row r="255" spans="15:18">
      <c r="O255" s="340"/>
      <c r="Q255" s="275">
        <f t="shared" si="23"/>
        <v>0.21800000000000017</v>
      </c>
      <c r="R255" s="276">
        <f t="shared" si="22"/>
        <v>0.25</v>
      </c>
    </row>
    <row r="256" spans="15:18">
      <c r="O256" s="340"/>
      <c r="Q256" s="275">
        <f t="shared" si="23"/>
        <v>0.21900000000000017</v>
      </c>
      <c r="R256" s="276">
        <f t="shared" ref="R256:R287" si="24">1/4</f>
        <v>0.25</v>
      </c>
    </row>
    <row r="257" spans="15:18">
      <c r="O257" s="340"/>
      <c r="Q257" s="275">
        <f t="shared" si="23"/>
        <v>0.22000000000000017</v>
      </c>
      <c r="R257" s="276">
        <f t="shared" si="24"/>
        <v>0.25</v>
      </c>
    </row>
    <row r="258" spans="15:18">
      <c r="O258" s="340"/>
      <c r="Q258" s="275">
        <f t="shared" si="23"/>
        <v>0.22100000000000017</v>
      </c>
      <c r="R258" s="276">
        <f t="shared" si="24"/>
        <v>0.25</v>
      </c>
    </row>
    <row r="259" spans="15:18">
      <c r="O259" s="340"/>
      <c r="Q259" s="275">
        <f t="shared" si="23"/>
        <v>0.22200000000000017</v>
      </c>
      <c r="R259" s="276">
        <f t="shared" si="24"/>
        <v>0.25</v>
      </c>
    </row>
    <row r="260" spans="15:18">
      <c r="O260" s="340"/>
      <c r="Q260" s="275">
        <f t="shared" si="23"/>
        <v>0.22300000000000017</v>
      </c>
      <c r="R260" s="276">
        <f t="shared" si="24"/>
        <v>0.25</v>
      </c>
    </row>
    <row r="261" spans="15:18">
      <c r="O261" s="340"/>
      <c r="Q261" s="275">
        <f t="shared" si="23"/>
        <v>0.22400000000000017</v>
      </c>
      <c r="R261" s="276">
        <f t="shared" si="24"/>
        <v>0.25</v>
      </c>
    </row>
    <row r="262" spans="15:18">
      <c r="O262" s="340"/>
      <c r="Q262" s="275">
        <f t="shared" si="23"/>
        <v>0.22500000000000017</v>
      </c>
      <c r="R262" s="276">
        <f t="shared" si="24"/>
        <v>0.25</v>
      </c>
    </row>
    <row r="263" spans="15:18">
      <c r="O263" s="340"/>
      <c r="Q263" s="275">
        <f t="shared" si="23"/>
        <v>0.22600000000000017</v>
      </c>
      <c r="R263" s="276">
        <f t="shared" si="24"/>
        <v>0.25</v>
      </c>
    </row>
    <row r="264" spans="15:18">
      <c r="O264" s="340"/>
      <c r="Q264" s="275">
        <f t="shared" si="23"/>
        <v>0.22700000000000017</v>
      </c>
      <c r="R264" s="276">
        <f t="shared" si="24"/>
        <v>0.25</v>
      </c>
    </row>
    <row r="265" spans="15:18">
      <c r="O265" s="340"/>
      <c r="Q265" s="275">
        <f t="shared" si="23"/>
        <v>0.22800000000000017</v>
      </c>
      <c r="R265" s="276">
        <f t="shared" si="24"/>
        <v>0.25</v>
      </c>
    </row>
    <row r="266" spans="15:18">
      <c r="O266" s="340"/>
      <c r="Q266" s="275">
        <f t="shared" si="23"/>
        <v>0.22900000000000018</v>
      </c>
      <c r="R266" s="276">
        <f t="shared" si="24"/>
        <v>0.25</v>
      </c>
    </row>
    <row r="267" spans="15:18">
      <c r="O267" s="340"/>
      <c r="Q267" s="275">
        <f t="shared" si="23"/>
        <v>0.23000000000000018</v>
      </c>
      <c r="R267" s="276">
        <f t="shared" si="24"/>
        <v>0.25</v>
      </c>
    </row>
    <row r="268" spans="15:18">
      <c r="O268" s="340"/>
      <c r="Q268" s="275">
        <f t="shared" si="23"/>
        <v>0.23100000000000018</v>
      </c>
      <c r="R268" s="276">
        <f t="shared" si="24"/>
        <v>0.25</v>
      </c>
    </row>
    <row r="269" spans="15:18">
      <c r="O269" s="340"/>
      <c r="Q269" s="275">
        <f t="shared" si="23"/>
        <v>0.23200000000000018</v>
      </c>
      <c r="R269" s="276">
        <f t="shared" si="24"/>
        <v>0.25</v>
      </c>
    </row>
    <row r="270" spans="15:18">
      <c r="O270" s="340"/>
      <c r="Q270" s="275">
        <f t="shared" si="23"/>
        <v>0.23300000000000018</v>
      </c>
      <c r="R270" s="276">
        <f t="shared" si="24"/>
        <v>0.25</v>
      </c>
    </row>
    <row r="271" spans="15:18">
      <c r="O271" s="340"/>
      <c r="Q271" s="275">
        <f t="shared" si="23"/>
        <v>0.23400000000000018</v>
      </c>
      <c r="R271" s="276">
        <f t="shared" si="24"/>
        <v>0.25</v>
      </c>
    </row>
    <row r="272" spans="15:18">
      <c r="O272" s="340"/>
      <c r="Q272" s="275">
        <f t="shared" si="23"/>
        <v>0.23500000000000018</v>
      </c>
      <c r="R272" s="276">
        <f t="shared" si="24"/>
        <v>0.25</v>
      </c>
    </row>
    <row r="273" spans="15:18">
      <c r="O273" s="340"/>
      <c r="Q273" s="275">
        <f t="shared" si="23"/>
        <v>0.23600000000000018</v>
      </c>
      <c r="R273" s="276">
        <f t="shared" si="24"/>
        <v>0.25</v>
      </c>
    </row>
    <row r="274" spans="15:18">
      <c r="O274" s="340"/>
      <c r="Q274" s="275">
        <f t="shared" si="23"/>
        <v>0.23700000000000018</v>
      </c>
      <c r="R274" s="276">
        <f t="shared" si="24"/>
        <v>0.25</v>
      </c>
    </row>
    <row r="275" spans="15:18">
      <c r="O275" s="340"/>
      <c r="Q275" s="275">
        <f t="shared" si="23"/>
        <v>0.23800000000000018</v>
      </c>
      <c r="R275" s="276">
        <f t="shared" si="24"/>
        <v>0.25</v>
      </c>
    </row>
    <row r="276" spans="15:18">
      <c r="O276" s="340"/>
      <c r="Q276" s="275">
        <f t="shared" si="23"/>
        <v>0.23900000000000018</v>
      </c>
      <c r="R276" s="276">
        <f t="shared" si="24"/>
        <v>0.25</v>
      </c>
    </row>
    <row r="277" spans="15:18">
      <c r="O277" s="340"/>
      <c r="Q277" s="275">
        <f t="shared" si="23"/>
        <v>0.24000000000000019</v>
      </c>
      <c r="R277" s="276">
        <f t="shared" si="24"/>
        <v>0.25</v>
      </c>
    </row>
    <row r="278" spans="15:18">
      <c r="O278" s="340"/>
      <c r="Q278" s="275">
        <f t="shared" si="23"/>
        <v>0.24100000000000019</v>
      </c>
      <c r="R278" s="276">
        <f t="shared" si="24"/>
        <v>0.25</v>
      </c>
    </row>
    <row r="279" spans="15:18">
      <c r="O279" s="340"/>
      <c r="Q279" s="275">
        <f t="shared" si="23"/>
        <v>0.24200000000000019</v>
      </c>
      <c r="R279" s="276">
        <f t="shared" si="24"/>
        <v>0.25</v>
      </c>
    </row>
    <row r="280" spans="15:18">
      <c r="O280" s="340"/>
      <c r="Q280" s="275">
        <f t="shared" si="23"/>
        <v>0.24300000000000019</v>
      </c>
      <c r="R280" s="276">
        <f t="shared" si="24"/>
        <v>0.25</v>
      </c>
    </row>
    <row r="281" spans="15:18">
      <c r="O281" s="340"/>
      <c r="Q281" s="275">
        <f t="shared" si="23"/>
        <v>0.24400000000000019</v>
      </c>
      <c r="R281" s="276">
        <f t="shared" si="24"/>
        <v>0.25</v>
      </c>
    </row>
    <row r="282" spans="15:18">
      <c r="O282" s="340"/>
      <c r="Q282" s="275">
        <f t="shared" si="23"/>
        <v>0.24500000000000019</v>
      </c>
      <c r="R282" s="276">
        <f t="shared" si="24"/>
        <v>0.25</v>
      </c>
    </row>
    <row r="283" spans="15:18">
      <c r="O283" s="340"/>
      <c r="Q283" s="275">
        <f t="shared" si="23"/>
        <v>0.24600000000000019</v>
      </c>
      <c r="R283" s="276">
        <f t="shared" si="24"/>
        <v>0.25</v>
      </c>
    </row>
    <row r="284" spans="15:18">
      <c r="O284" s="340"/>
      <c r="Q284" s="275">
        <f t="shared" si="23"/>
        <v>0.24700000000000019</v>
      </c>
      <c r="R284" s="276">
        <f t="shared" si="24"/>
        <v>0.25</v>
      </c>
    </row>
    <row r="285" spans="15:18">
      <c r="O285" s="340"/>
      <c r="Q285" s="275">
        <f t="shared" si="23"/>
        <v>0.24800000000000019</v>
      </c>
      <c r="R285" s="276">
        <f t="shared" si="24"/>
        <v>0.25</v>
      </c>
    </row>
    <row r="286" spans="15:18">
      <c r="O286" s="340"/>
      <c r="Q286" s="275">
        <f t="shared" si="23"/>
        <v>0.24900000000000019</v>
      </c>
      <c r="R286" s="276">
        <f t="shared" si="24"/>
        <v>0.25</v>
      </c>
    </row>
    <row r="287" spans="15:18">
      <c r="O287" s="340"/>
      <c r="Q287" s="275">
        <f t="shared" si="23"/>
        <v>0.25000000000000017</v>
      </c>
      <c r="R287" s="276">
        <f t="shared" si="24"/>
        <v>0.25</v>
      </c>
    </row>
    <row r="288" spans="15:18">
      <c r="O288" s="340"/>
      <c r="Q288" s="275">
        <f t="shared" si="23"/>
        <v>0.25100000000000017</v>
      </c>
      <c r="R288" s="276">
        <f t="shared" ref="R288:R319" si="25">5/16</f>
        <v>0.3125</v>
      </c>
    </row>
    <row r="289" spans="15:18">
      <c r="O289" s="340"/>
      <c r="Q289" s="275">
        <f t="shared" si="23"/>
        <v>0.25200000000000017</v>
      </c>
      <c r="R289" s="276">
        <f t="shared" si="25"/>
        <v>0.3125</v>
      </c>
    </row>
    <row r="290" spans="15:18">
      <c r="O290" s="340"/>
      <c r="Q290" s="275">
        <f t="shared" si="23"/>
        <v>0.25300000000000017</v>
      </c>
      <c r="R290" s="276">
        <f t="shared" si="25"/>
        <v>0.3125</v>
      </c>
    </row>
    <row r="291" spans="15:18">
      <c r="O291" s="340"/>
      <c r="Q291" s="275">
        <f t="shared" si="23"/>
        <v>0.25400000000000017</v>
      </c>
      <c r="R291" s="276">
        <f t="shared" si="25"/>
        <v>0.3125</v>
      </c>
    </row>
    <row r="292" spans="15:18">
      <c r="O292" s="340"/>
      <c r="Q292" s="275">
        <f t="shared" si="23"/>
        <v>0.25500000000000017</v>
      </c>
      <c r="R292" s="276">
        <f t="shared" si="25"/>
        <v>0.3125</v>
      </c>
    </row>
    <row r="293" spans="15:18">
      <c r="O293" s="340"/>
      <c r="Q293" s="275">
        <f t="shared" si="23"/>
        <v>0.25600000000000017</v>
      </c>
      <c r="R293" s="276">
        <f t="shared" si="25"/>
        <v>0.3125</v>
      </c>
    </row>
    <row r="294" spans="15:18">
      <c r="O294" s="340"/>
      <c r="Q294" s="275">
        <f t="shared" si="23"/>
        <v>0.25700000000000017</v>
      </c>
      <c r="R294" s="276">
        <f t="shared" si="25"/>
        <v>0.3125</v>
      </c>
    </row>
    <row r="295" spans="15:18">
      <c r="O295" s="340"/>
      <c r="Q295" s="275">
        <f t="shared" ref="Q295:Q358" si="26">Q294+0.001</f>
        <v>0.25800000000000017</v>
      </c>
      <c r="R295" s="276">
        <f t="shared" si="25"/>
        <v>0.3125</v>
      </c>
    </row>
    <row r="296" spans="15:18">
      <c r="O296" s="340"/>
      <c r="Q296" s="275">
        <f t="shared" si="26"/>
        <v>0.25900000000000017</v>
      </c>
      <c r="R296" s="276">
        <f t="shared" si="25"/>
        <v>0.3125</v>
      </c>
    </row>
    <row r="297" spans="15:18">
      <c r="O297" s="340"/>
      <c r="Q297" s="275">
        <f t="shared" si="26"/>
        <v>0.26000000000000018</v>
      </c>
      <c r="R297" s="276">
        <f t="shared" si="25"/>
        <v>0.3125</v>
      </c>
    </row>
    <row r="298" spans="15:18">
      <c r="O298" s="340"/>
      <c r="Q298" s="275">
        <f t="shared" si="26"/>
        <v>0.26100000000000018</v>
      </c>
      <c r="R298" s="276">
        <f t="shared" si="25"/>
        <v>0.3125</v>
      </c>
    </row>
    <row r="299" spans="15:18">
      <c r="O299" s="340"/>
      <c r="Q299" s="275">
        <f t="shared" si="26"/>
        <v>0.26200000000000018</v>
      </c>
      <c r="R299" s="276">
        <f t="shared" si="25"/>
        <v>0.3125</v>
      </c>
    </row>
    <row r="300" spans="15:18">
      <c r="O300" s="340"/>
      <c r="Q300" s="275">
        <f t="shared" si="26"/>
        <v>0.26300000000000018</v>
      </c>
      <c r="R300" s="276">
        <f t="shared" si="25"/>
        <v>0.3125</v>
      </c>
    </row>
    <row r="301" spans="15:18">
      <c r="O301" s="340"/>
      <c r="Q301" s="275">
        <f t="shared" si="26"/>
        <v>0.26400000000000018</v>
      </c>
      <c r="R301" s="276">
        <f t="shared" si="25"/>
        <v>0.3125</v>
      </c>
    </row>
    <row r="302" spans="15:18">
      <c r="O302" s="340"/>
      <c r="Q302" s="275">
        <f t="shared" si="26"/>
        <v>0.26500000000000018</v>
      </c>
      <c r="R302" s="276">
        <f t="shared" si="25"/>
        <v>0.3125</v>
      </c>
    </row>
    <row r="303" spans="15:18">
      <c r="O303" s="340"/>
      <c r="Q303" s="275">
        <f t="shared" si="26"/>
        <v>0.26600000000000018</v>
      </c>
      <c r="R303" s="276">
        <f t="shared" si="25"/>
        <v>0.3125</v>
      </c>
    </row>
    <row r="304" spans="15:18">
      <c r="O304" s="340"/>
      <c r="Q304" s="275">
        <f t="shared" si="26"/>
        <v>0.26700000000000018</v>
      </c>
      <c r="R304" s="276">
        <f t="shared" si="25"/>
        <v>0.3125</v>
      </c>
    </row>
    <row r="305" spans="15:18">
      <c r="O305" s="340"/>
      <c r="Q305" s="275">
        <f t="shared" si="26"/>
        <v>0.26800000000000018</v>
      </c>
      <c r="R305" s="276">
        <f t="shared" si="25"/>
        <v>0.3125</v>
      </c>
    </row>
    <row r="306" spans="15:18">
      <c r="O306" s="340"/>
      <c r="Q306" s="275">
        <f t="shared" si="26"/>
        <v>0.26900000000000018</v>
      </c>
      <c r="R306" s="276">
        <f t="shared" si="25"/>
        <v>0.3125</v>
      </c>
    </row>
    <row r="307" spans="15:18">
      <c r="O307" s="340"/>
      <c r="Q307" s="275">
        <f t="shared" si="26"/>
        <v>0.27000000000000018</v>
      </c>
      <c r="R307" s="276">
        <f t="shared" si="25"/>
        <v>0.3125</v>
      </c>
    </row>
    <row r="308" spans="15:18">
      <c r="O308" s="340"/>
      <c r="Q308" s="275">
        <f t="shared" si="26"/>
        <v>0.27100000000000019</v>
      </c>
      <c r="R308" s="276">
        <f t="shared" si="25"/>
        <v>0.3125</v>
      </c>
    </row>
    <row r="309" spans="15:18">
      <c r="O309" s="340"/>
      <c r="Q309" s="275">
        <f t="shared" si="26"/>
        <v>0.27200000000000019</v>
      </c>
      <c r="R309" s="276">
        <f t="shared" si="25"/>
        <v>0.3125</v>
      </c>
    </row>
    <row r="310" spans="15:18">
      <c r="O310" s="340"/>
      <c r="Q310" s="275">
        <f t="shared" si="26"/>
        <v>0.27300000000000019</v>
      </c>
      <c r="R310" s="276">
        <f t="shared" si="25"/>
        <v>0.3125</v>
      </c>
    </row>
    <row r="311" spans="15:18">
      <c r="O311" s="340"/>
      <c r="Q311" s="275">
        <f t="shared" si="26"/>
        <v>0.27400000000000019</v>
      </c>
      <c r="R311" s="276">
        <f t="shared" si="25"/>
        <v>0.3125</v>
      </c>
    </row>
    <row r="312" spans="15:18">
      <c r="O312" s="340"/>
      <c r="Q312" s="275">
        <f t="shared" si="26"/>
        <v>0.27500000000000019</v>
      </c>
      <c r="R312" s="276">
        <f t="shared" si="25"/>
        <v>0.3125</v>
      </c>
    </row>
    <row r="313" spans="15:18">
      <c r="O313" s="340"/>
      <c r="Q313" s="275">
        <f t="shared" si="26"/>
        <v>0.27600000000000019</v>
      </c>
      <c r="R313" s="276">
        <f t="shared" si="25"/>
        <v>0.3125</v>
      </c>
    </row>
    <row r="314" spans="15:18">
      <c r="O314" s="340"/>
      <c r="Q314" s="275">
        <f t="shared" si="26"/>
        <v>0.27700000000000019</v>
      </c>
      <c r="R314" s="276">
        <f t="shared" si="25"/>
        <v>0.3125</v>
      </c>
    </row>
    <row r="315" spans="15:18">
      <c r="O315" s="340"/>
      <c r="Q315" s="275">
        <f t="shared" si="26"/>
        <v>0.27800000000000019</v>
      </c>
      <c r="R315" s="276">
        <f t="shared" si="25"/>
        <v>0.3125</v>
      </c>
    </row>
    <row r="316" spans="15:18">
      <c r="O316" s="340"/>
      <c r="Q316" s="275">
        <f t="shared" si="26"/>
        <v>0.27900000000000019</v>
      </c>
      <c r="R316" s="276">
        <f t="shared" si="25"/>
        <v>0.3125</v>
      </c>
    </row>
    <row r="317" spans="15:18">
      <c r="O317" s="340"/>
      <c r="Q317" s="275">
        <f t="shared" si="26"/>
        <v>0.28000000000000019</v>
      </c>
      <c r="R317" s="276">
        <f t="shared" si="25"/>
        <v>0.3125</v>
      </c>
    </row>
    <row r="318" spans="15:18">
      <c r="O318" s="340"/>
      <c r="Q318" s="275">
        <f t="shared" si="26"/>
        <v>0.28100000000000019</v>
      </c>
      <c r="R318" s="276">
        <f t="shared" si="25"/>
        <v>0.3125</v>
      </c>
    </row>
    <row r="319" spans="15:18">
      <c r="O319" s="340"/>
      <c r="Q319" s="275">
        <f t="shared" si="26"/>
        <v>0.28200000000000019</v>
      </c>
      <c r="R319" s="276">
        <f t="shared" si="25"/>
        <v>0.3125</v>
      </c>
    </row>
    <row r="320" spans="15:18">
      <c r="O320" s="340"/>
      <c r="Q320" s="275">
        <f t="shared" si="26"/>
        <v>0.2830000000000002</v>
      </c>
      <c r="R320" s="276">
        <f t="shared" ref="R320:R349" si="27">5/16</f>
        <v>0.3125</v>
      </c>
    </row>
    <row r="321" spans="15:18">
      <c r="O321" s="340"/>
      <c r="Q321" s="275">
        <f t="shared" si="26"/>
        <v>0.2840000000000002</v>
      </c>
      <c r="R321" s="276">
        <f t="shared" si="27"/>
        <v>0.3125</v>
      </c>
    </row>
    <row r="322" spans="15:18">
      <c r="O322" s="340"/>
      <c r="Q322" s="275">
        <f t="shared" si="26"/>
        <v>0.2850000000000002</v>
      </c>
      <c r="R322" s="276">
        <f t="shared" si="27"/>
        <v>0.3125</v>
      </c>
    </row>
    <row r="323" spans="15:18">
      <c r="O323" s="340"/>
      <c r="Q323" s="275">
        <f t="shared" si="26"/>
        <v>0.2860000000000002</v>
      </c>
      <c r="R323" s="276">
        <f t="shared" si="27"/>
        <v>0.3125</v>
      </c>
    </row>
    <row r="324" spans="15:18">
      <c r="O324" s="340"/>
      <c r="Q324" s="275">
        <f t="shared" si="26"/>
        <v>0.2870000000000002</v>
      </c>
      <c r="R324" s="276">
        <f t="shared" si="27"/>
        <v>0.3125</v>
      </c>
    </row>
    <row r="325" spans="15:18">
      <c r="O325" s="340"/>
      <c r="Q325" s="275">
        <f t="shared" si="26"/>
        <v>0.2880000000000002</v>
      </c>
      <c r="R325" s="276">
        <f t="shared" si="27"/>
        <v>0.3125</v>
      </c>
    </row>
    <row r="326" spans="15:18">
      <c r="O326" s="340"/>
      <c r="Q326" s="275">
        <f t="shared" si="26"/>
        <v>0.2890000000000002</v>
      </c>
      <c r="R326" s="276">
        <f t="shared" si="27"/>
        <v>0.3125</v>
      </c>
    </row>
    <row r="327" spans="15:18">
      <c r="O327" s="340"/>
      <c r="Q327" s="275">
        <f t="shared" si="26"/>
        <v>0.2900000000000002</v>
      </c>
      <c r="R327" s="276">
        <f t="shared" si="27"/>
        <v>0.3125</v>
      </c>
    </row>
    <row r="328" spans="15:18">
      <c r="O328" s="340"/>
      <c r="Q328" s="275">
        <f t="shared" si="26"/>
        <v>0.2910000000000002</v>
      </c>
      <c r="R328" s="276">
        <f t="shared" si="27"/>
        <v>0.3125</v>
      </c>
    </row>
    <row r="329" spans="15:18">
      <c r="O329" s="340"/>
      <c r="Q329" s="275">
        <f t="shared" si="26"/>
        <v>0.2920000000000002</v>
      </c>
      <c r="R329" s="276">
        <f t="shared" si="27"/>
        <v>0.3125</v>
      </c>
    </row>
    <row r="330" spans="15:18">
      <c r="O330" s="340"/>
      <c r="Q330" s="275">
        <f t="shared" si="26"/>
        <v>0.2930000000000002</v>
      </c>
      <c r="R330" s="276">
        <f t="shared" si="27"/>
        <v>0.3125</v>
      </c>
    </row>
    <row r="331" spans="15:18">
      <c r="O331" s="340"/>
      <c r="Q331" s="275">
        <f t="shared" si="26"/>
        <v>0.29400000000000021</v>
      </c>
      <c r="R331" s="276">
        <f t="shared" si="27"/>
        <v>0.3125</v>
      </c>
    </row>
    <row r="332" spans="15:18">
      <c r="O332" s="340"/>
      <c r="Q332" s="275">
        <f t="shared" si="26"/>
        <v>0.29500000000000021</v>
      </c>
      <c r="R332" s="276">
        <f t="shared" si="27"/>
        <v>0.3125</v>
      </c>
    </row>
    <row r="333" spans="15:18">
      <c r="O333" s="340"/>
      <c r="Q333" s="275">
        <f t="shared" si="26"/>
        <v>0.29600000000000021</v>
      </c>
      <c r="R333" s="276">
        <f t="shared" si="27"/>
        <v>0.3125</v>
      </c>
    </row>
    <row r="334" spans="15:18">
      <c r="O334" s="340"/>
      <c r="Q334" s="275">
        <f t="shared" si="26"/>
        <v>0.29700000000000021</v>
      </c>
      <c r="R334" s="276">
        <f t="shared" si="27"/>
        <v>0.3125</v>
      </c>
    </row>
    <row r="335" spans="15:18">
      <c r="O335" s="340"/>
      <c r="Q335" s="275">
        <f t="shared" si="26"/>
        <v>0.29800000000000021</v>
      </c>
      <c r="R335" s="276">
        <f t="shared" si="27"/>
        <v>0.3125</v>
      </c>
    </row>
    <row r="336" spans="15:18">
      <c r="O336" s="340"/>
      <c r="Q336" s="275">
        <f t="shared" si="26"/>
        <v>0.29900000000000021</v>
      </c>
      <c r="R336" s="276">
        <f t="shared" si="27"/>
        <v>0.3125</v>
      </c>
    </row>
    <row r="337" spans="15:18">
      <c r="O337" s="340"/>
      <c r="Q337" s="275">
        <f t="shared" si="26"/>
        <v>0.30000000000000021</v>
      </c>
      <c r="R337" s="276">
        <f t="shared" si="27"/>
        <v>0.3125</v>
      </c>
    </row>
    <row r="338" spans="15:18">
      <c r="O338" s="340"/>
      <c r="Q338" s="275">
        <f t="shared" si="26"/>
        <v>0.30100000000000021</v>
      </c>
      <c r="R338" s="276">
        <f t="shared" si="27"/>
        <v>0.3125</v>
      </c>
    </row>
    <row r="339" spans="15:18">
      <c r="O339" s="340"/>
      <c r="Q339" s="275">
        <f t="shared" si="26"/>
        <v>0.30200000000000021</v>
      </c>
      <c r="R339" s="276">
        <f t="shared" si="27"/>
        <v>0.3125</v>
      </c>
    </row>
    <row r="340" spans="15:18">
      <c r="O340" s="340"/>
      <c r="Q340" s="275">
        <f t="shared" si="26"/>
        <v>0.30300000000000021</v>
      </c>
      <c r="R340" s="276">
        <f t="shared" si="27"/>
        <v>0.3125</v>
      </c>
    </row>
    <row r="341" spans="15:18">
      <c r="O341" s="340"/>
      <c r="Q341" s="275">
        <f t="shared" si="26"/>
        <v>0.30400000000000021</v>
      </c>
      <c r="R341" s="276">
        <f t="shared" si="27"/>
        <v>0.3125</v>
      </c>
    </row>
    <row r="342" spans="15:18">
      <c r="O342" s="340"/>
      <c r="Q342" s="275">
        <f t="shared" si="26"/>
        <v>0.30500000000000022</v>
      </c>
      <c r="R342" s="276">
        <f t="shared" si="27"/>
        <v>0.3125</v>
      </c>
    </row>
    <row r="343" spans="15:18">
      <c r="O343" s="340"/>
      <c r="Q343" s="275">
        <f t="shared" si="26"/>
        <v>0.30600000000000022</v>
      </c>
      <c r="R343" s="276">
        <f t="shared" si="27"/>
        <v>0.3125</v>
      </c>
    </row>
    <row r="344" spans="15:18">
      <c r="O344" s="340"/>
      <c r="Q344" s="275">
        <f t="shared" si="26"/>
        <v>0.30700000000000022</v>
      </c>
      <c r="R344" s="276">
        <f t="shared" si="27"/>
        <v>0.3125</v>
      </c>
    </row>
    <row r="345" spans="15:18">
      <c r="O345" s="340"/>
      <c r="Q345" s="275">
        <f t="shared" si="26"/>
        <v>0.30800000000000022</v>
      </c>
      <c r="R345" s="276">
        <f t="shared" si="27"/>
        <v>0.3125</v>
      </c>
    </row>
    <row r="346" spans="15:18">
      <c r="O346" s="340"/>
      <c r="Q346" s="275">
        <f t="shared" si="26"/>
        <v>0.30900000000000022</v>
      </c>
      <c r="R346" s="276">
        <f t="shared" si="27"/>
        <v>0.3125</v>
      </c>
    </row>
    <row r="347" spans="15:18">
      <c r="O347" s="340"/>
      <c r="Q347" s="275">
        <f t="shared" si="26"/>
        <v>0.31000000000000022</v>
      </c>
      <c r="R347" s="276">
        <f t="shared" si="27"/>
        <v>0.3125</v>
      </c>
    </row>
    <row r="348" spans="15:18">
      <c r="O348" s="340"/>
      <c r="Q348" s="275">
        <f t="shared" si="26"/>
        <v>0.31100000000000022</v>
      </c>
      <c r="R348" s="276">
        <f t="shared" si="27"/>
        <v>0.3125</v>
      </c>
    </row>
    <row r="349" spans="15:18">
      <c r="O349" s="340"/>
      <c r="Q349" s="275">
        <f t="shared" si="26"/>
        <v>0.31200000000000022</v>
      </c>
      <c r="R349" s="276">
        <f t="shared" si="27"/>
        <v>0.3125</v>
      </c>
    </row>
    <row r="350" spans="15:18">
      <c r="O350" s="340"/>
      <c r="Q350" s="275">
        <f t="shared" si="26"/>
        <v>0.31300000000000022</v>
      </c>
      <c r="R350" s="276">
        <f t="shared" ref="R350:R381" si="28">3/8</f>
        <v>0.375</v>
      </c>
    </row>
    <row r="351" spans="15:18">
      <c r="O351" s="340"/>
      <c r="Q351" s="275">
        <f t="shared" si="26"/>
        <v>0.31400000000000022</v>
      </c>
      <c r="R351" s="276">
        <f t="shared" si="28"/>
        <v>0.375</v>
      </c>
    </row>
    <row r="352" spans="15:18">
      <c r="O352" s="340"/>
      <c r="Q352" s="275">
        <f t="shared" si="26"/>
        <v>0.31500000000000022</v>
      </c>
      <c r="R352" s="276">
        <f t="shared" si="28"/>
        <v>0.375</v>
      </c>
    </row>
    <row r="353" spans="15:18">
      <c r="O353" s="340"/>
      <c r="Q353" s="275">
        <f t="shared" si="26"/>
        <v>0.31600000000000023</v>
      </c>
      <c r="R353" s="276">
        <f t="shared" si="28"/>
        <v>0.375</v>
      </c>
    </row>
    <row r="354" spans="15:18">
      <c r="O354" s="340"/>
      <c r="Q354" s="275">
        <f t="shared" si="26"/>
        <v>0.31700000000000023</v>
      </c>
      <c r="R354" s="276">
        <f t="shared" si="28"/>
        <v>0.375</v>
      </c>
    </row>
    <row r="355" spans="15:18">
      <c r="O355" s="340"/>
      <c r="Q355" s="275">
        <f t="shared" si="26"/>
        <v>0.31800000000000023</v>
      </c>
      <c r="R355" s="276">
        <f t="shared" si="28"/>
        <v>0.375</v>
      </c>
    </row>
    <row r="356" spans="15:18">
      <c r="O356" s="340"/>
      <c r="Q356" s="275">
        <f t="shared" si="26"/>
        <v>0.31900000000000023</v>
      </c>
      <c r="R356" s="276">
        <f t="shared" si="28"/>
        <v>0.375</v>
      </c>
    </row>
    <row r="357" spans="15:18">
      <c r="O357" s="340"/>
      <c r="Q357" s="275">
        <f t="shared" si="26"/>
        <v>0.32000000000000023</v>
      </c>
      <c r="R357" s="276">
        <f t="shared" si="28"/>
        <v>0.375</v>
      </c>
    </row>
    <row r="358" spans="15:18">
      <c r="O358" s="340"/>
      <c r="Q358" s="275">
        <f t="shared" si="26"/>
        <v>0.32100000000000023</v>
      </c>
      <c r="R358" s="276">
        <f t="shared" si="28"/>
        <v>0.375</v>
      </c>
    </row>
    <row r="359" spans="15:18">
      <c r="O359" s="340"/>
      <c r="Q359" s="275">
        <f t="shared" ref="Q359:Q422" si="29">Q358+0.001</f>
        <v>0.32200000000000023</v>
      </c>
      <c r="R359" s="276">
        <f t="shared" si="28"/>
        <v>0.375</v>
      </c>
    </row>
    <row r="360" spans="15:18">
      <c r="O360" s="340"/>
      <c r="Q360" s="275">
        <f t="shared" si="29"/>
        <v>0.32300000000000023</v>
      </c>
      <c r="R360" s="276">
        <f t="shared" si="28"/>
        <v>0.375</v>
      </c>
    </row>
    <row r="361" spans="15:18">
      <c r="O361" s="340"/>
      <c r="Q361" s="275">
        <f t="shared" si="29"/>
        <v>0.32400000000000023</v>
      </c>
      <c r="R361" s="276">
        <f t="shared" si="28"/>
        <v>0.375</v>
      </c>
    </row>
    <row r="362" spans="15:18">
      <c r="O362" s="340"/>
      <c r="Q362" s="275">
        <f t="shared" si="29"/>
        <v>0.32500000000000023</v>
      </c>
      <c r="R362" s="276">
        <f t="shared" si="28"/>
        <v>0.375</v>
      </c>
    </row>
    <row r="363" spans="15:18">
      <c r="O363" s="340"/>
      <c r="Q363" s="275">
        <f t="shared" si="29"/>
        <v>0.32600000000000023</v>
      </c>
      <c r="R363" s="276">
        <f t="shared" si="28"/>
        <v>0.375</v>
      </c>
    </row>
    <row r="364" spans="15:18">
      <c r="O364" s="340"/>
      <c r="Q364" s="275">
        <f t="shared" si="29"/>
        <v>0.32700000000000023</v>
      </c>
      <c r="R364" s="276">
        <f t="shared" si="28"/>
        <v>0.375</v>
      </c>
    </row>
    <row r="365" spans="15:18">
      <c r="O365" s="340"/>
      <c r="Q365" s="275">
        <f t="shared" si="29"/>
        <v>0.32800000000000024</v>
      </c>
      <c r="R365" s="276">
        <f t="shared" si="28"/>
        <v>0.375</v>
      </c>
    </row>
    <row r="366" spans="15:18">
      <c r="O366" s="340"/>
      <c r="Q366" s="275">
        <f t="shared" si="29"/>
        <v>0.32900000000000024</v>
      </c>
      <c r="R366" s="276">
        <f t="shared" si="28"/>
        <v>0.375</v>
      </c>
    </row>
    <row r="367" spans="15:18">
      <c r="O367" s="340"/>
      <c r="Q367" s="275">
        <f t="shared" si="29"/>
        <v>0.33000000000000024</v>
      </c>
      <c r="R367" s="276">
        <f t="shared" si="28"/>
        <v>0.375</v>
      </c>
    </row>
    <row r="368" spans="15:18">
      <c r="O368" s="340"/>
      <c r="Q368" s="275">
        <f t="shared" si="29"/>
        <v>0.33100000000000024</v>
      </c>
      <c r="R368" s="276">
        <f t="shared" si="28"/>
        <v>0.375</v>
      </c>
    </row>
    <row r="369" spans="15:18">
      <c r="O369" s="340"/>
      <c r="Q369" s="275">
        <f t="shared" si="29"/>
        <v>0.33200000000000024</v>
      </c>
      <c r="R369" s="276">
        <f t="shared" si="28"/>
        <v>0.375</v>
      </c>
    </row>
    <row r="370" spans="15:18">
      <c r="O370" s="340"/>
      <c r="Q370" s="275">
        <f t="shared" si="29"/>
        <v>0.33300000000000024</v>
      </c>
      <c r="R370" s="276">
        <f t="shared" si="28"/>
        <v>0.375</v>
      </c>
    </row>
    <row r="371" spans="15:18">
      <c r="O371" s="340"/>
      <c r="Q371" s="275">
        <f t="shared" si="29"/>
        <v>0.33400000000000024</v>
      </c>
      <c r="R371" s="276">
        <f t="shared" si="28"/>
        <v>0.375</v>
      </c>
    </row>
    <row r="372" spans="15:18">
      <c r="O372" s="340"/>
      <c r="Q372" s="275">
        <f t="shared" si="29"/>
        <v>0.33500000000000024</v>
      </c>
      <c r="R372" s="276">
        <f t="shared" si="28"/>
        <v>0.375</v>
      </c>
    </row>
    <row r="373" spans="15:18">
      <c r="O373" s="340"/>
      <c r="Q373" s="275">
        <f t="shared" si="29"/>
        <v>0.33600000000000024</v>
      </c>
      <c r="R373" s="276">
        <f t="shared" si="28"/>
        <v>0.375</v>
      </c>
    </row>
    <row r="374" spans="15:18">
      <c r="O374" s="340"/>
      <c r="Q374" s="275">
        <f t="shared" si="29"/>
        <v>0.33700000000000024</v>
      </c>
      <c r="R374" s="276">
        <f t="shared" si="28"/>
        <v>0.375</v>
      </c>
    </row>
    <row r="375" spans="15:18">
      <c r="O375" s="340"/>
      <c r="Q375" s="275">
        <f t="shared" si="29"/>
        <v>0.33800000000000024</v>
      </c>
      <c r="R375" s="276">
        <f t="shared" si="28"/>
        <v>0.375</v>
      </c>
    </row>
    <row r="376" spans="15:18">
      <c r="O376" s="340"/>
      <c r="Q376" s="275">
        <f t="shared" si="29"/>
        <v>0.33900000000000025</v>
      </c>
      <c r="R376" s="276">
        <f t="shared" si="28"/>
        <v>0.375</v>
      </c>
    </row>
    <row r="377" spans="15:18">
      <c r="O377" s="340"/>
      <c r="Q377" s="275">
        <f t="shared" si="29"/>
        <v>0.34000000000000025</v>
      </c>
      <c r="R377" s="276">
        <f t="shared" si="28"/>
        <v>0.375</v>
      </c>
    </row>
    <row r="378" spans="15:18">
      <c r="O378" s="340"/>
      <c r="Q378" s="275">
        <f t="shared" si="29"/>
        <v>0.34100000000000025</v>
      </c>
      <c r="R378" s="276">
        <f t="shared" si="28"/>
        <v>0.375</v>
      </c>
    </row>
    <row r="379" spans="15:18">
      <c r="O379" s="340"/>
      <c r="Q379" s="275">
        <f t="shared" si="29"/>
        <v>0.34200000000000025</v>
      </c>
      <c r="R379" s="276">
        <f t="shared" si="28"/>
        <v>0.375</v>
      </c>
    </row>
    <row r="380" spans="15:18">
      <c r="O380" s="340"/>
      <c r="Q380" s="275">
        <f t="shared" si="29"/>
        <v>0.34300000000000025</v>
      </c>
      <c r="R380" s="276">
        <f t="shared" si="28"/>
        <v>0.375</v>
      </c>
    </row>
    <row r="381" spans="15:18">
      <c r="O381" s="340"/>
      <c r="Q381" s="275">
        <f t="shared" si="29"/>
        <v>0.34400000000000025</v>
      </c>
      <c r="R381" s="276">
        <f t="shared" si="28"/>
        <v>0.375</v>
      </c>
    </row>
    <row r="382" spans="15:18">
      <c r="O382" s="340"/>
      <c r="Q382" s="275">
        <f t="shared" si="29"/>
        <v>0.34500000000000025</v>
      </c>
      <c r="R382" s="276">
        <f t="shared" ref="R382:R412" si="30">3/8</f>
        <v>0.375</v>
      </c>
    </row>
    <row r="383" spans="15:18">
      <c r="O383" s="340"/>
      <c r="Q383" s="275">
        <f t="shared" si="29"/>
        <v>0.34600000000000025</v>
      </c>
      <c r="R383" s="276">
        <f t="shared" si="30"/>
        <v>0.375</v>
      </c>
    </row>
    <row r="384" spans="15:18">
      <c r="O384" s="340"/>
      <c r="Q384" s="275">
        <f t="shared" si="29"/>
        <v>0.34700000000000025</v>
      </c>
      <c r="R384" s="276">
        <f t="shared" si="30"/>
        <v>0.375</v>
      </c>
    </row>
    <row r="385" spans="15:18">
      <c r="O385" s="340"/>
      <c r="Q385" s="275">
        <f t="shared" si="29"/>
        <v>0.34800000000000025</v>
      </c>
      <c r="R385" s="276">
        <f t="shared" si="30"/>
        <v>0.375</v>
      </c>
    </row>
    <row r="386" spans="15:18">
      <c r="O386" s="340"/>
      <c r="Q386" s="275">
        <f t="shared" si="29"/>
        <v>0.34900000000000025</v>
      </c>
      <c r="R386" s="276">
        <f t="shared" si="30"/>
        <v>0.375</v>
      </c>
    </row>
    <row r="387" spans="15:18">
      <c r="O387" s="340"/>
      <c r="Q387" s="275">
        <f t="shared" si="29"/>
        <v>0.35000000000000026</v>
      </c>
      <c r="R387" s="276">
        <f t="shared" si="30"/>
        <v>0.375</v>
      </c>
    </row>
    <row r="388" spans="15:18">
      <c r="O388" s="340"/>
      <c r="Q388" s="275">
        <f t="shared" si="29"/>
        <v>0.35100000000000026</v>
      </c>
      <c r="R388" s="276">
        <f t="shared" si="30"/>
        <v>0.375</v>
      </c>
    </row>
    <row r="389" spans="15:18">
      <c r="O389" s="340"/>
      <c r="Q389" s="275">
        <f t="shared" si="29"/>
        <v>0.35200000000000026</v>
      </c>
      <c r="R389" s="276">
        <f t="shared" si="30"/>
        <v>0.375</v>
      </c>
    </row>
    <row r="390" spans="15:18">
      <c r="O390" s="340"/>
      <c r="Q390" s="275">
        <f t="shared" si="29"/>
        <v>0.35300000000000026</v>
      </c>
      <c r="R390" s="276">
        <f t="shared" si="30"/>
        <v>0.375</v>
      </c>
    </row>
    <row r="391" spans="15:18">
      <c r="O391" s="340"/>
      <c r="Q391" s="275">
        <f t="shared" si="29"/>
        <v>0.35400000000000026</v>
      </c>
      <c r="R391" s="276">
        <f t="shared" si="30"/>
        <v>0.375</v>
      </c>
    </row>
    <row r="392" spans="15:18">
      <c r="O392" s="340"/>
      <c r="Q392" s="275">
        <f t="shared" si="29"/>
        <v>0.35500000000000026</v>
      </c>
      <c r="R392" s="276">
        <f t="shared" si="30"/>
        <v>0.375</v>
      </c>
    </row>
    <row r="393" spans="15:18">
      <c r="O393" s="340"/>
      <c r="Q393" s="275">
        <f t="shared" si="29"/>
        <v>0.35600000000000026</v>
      </c>
      <c r="R393" s="276">
        <f t="shared" si="30"/>
        <v>0.375</v>
      </c>
    </row>
    <row r="394" spans="15:18">
      <c r="O394" s="340"/>
      <c r="Q394" s="275">
        <f t="shared" si="29"/>
        <v>0.35700000000000026</v>
      </c>
      <c r="R394" s="276">
        <f t="shared" si="30"/>
        <v>0.375</v>
      </c>
    </row>
    <row r="395" spans="15:18">
      <c r="O395" s="340"/>
      <c r="Q395" s="275">
        <f t="shared" si="29"/>
        <v>0.35800000000000026</v>
      </c>
      <c r="R395" s="276">
        <f t="shared" si="30"/>
        <v>0.375</v>
      </c>
    </row>
    <row r="396" spans="15:18">
      <c r="O396" s="340"/>
      <c r="Q396" s="275">
        <f t="shared" si="29"/>
        <v>0.35900000000000026</v>
      </c>
      <c r="R396" s="276">
        <f t="shared" si="30"/>
        <v>0.375</v>
      </c>
    </row>
    <row r="397" spans="15:18">
      <c r="O397" s="340"/>
      <c r="Q397" s="275">
        <f t="shared" si="29"/>
        <v>0.36000000000000026</v>
      </c>
      <c r="R397" s="276">
        <f t="shared" si="30"/>
        <v>0.375</v>
      </c>
    </row>
    <row r="398" spans="15:18">
      <c r="O398" s="340"/>
      <c r="Q398" s="275">
        <f t="shared" si="29"/>
        <v>0.36100000000000027</v>
      </c>
      <c r="R398" s="276">
        <f t="shared" si="30"/>
        <v>0.375</v>
      </c>
    </row>
    <row r="399" spans="15:18">
      <c r="O399" s="340"/>
      <c r="Q399" s="275">
        <f t="shared" si="29"/>
        <v>0.36200000000000027</v>
      </c>
      <c r="R399" s="276">
        <f t="shared" si="30"/>
        <v>0.375</v>
      </c>
    </row>
    <row r="400" spans="15:18">
      <c r="O400" s="340"/>
      <c r="Q400" s="275">
        <f t="shared" si="29"/>
        <v>0.36300000000000027</v>
      </c>
      <c r="R400" s="276">
        <f t="shared" si="30"/>
        <v>0.375</v>
      </c>
    </row>
    <row r="401" spans="15:18">
      <c r="O401" s="340"/>
      <c r="Q401" s="275">
        <f t="shared" si="29"/>
        <v>0.36400000000000027</v>
      </c>
      <c r="R401" s="276">
        <f t="shared" si="30"/>
        <v>0.375</v>
      </c>
    </row>
    <row r="402" spans="15:18">
      <c r="O402" s="340"/>
      <c r="Q402" s="275">
        <f t="shared" si="29"/>
        <v>0.36500000000000027</v>
      </c>
      <c r="R402" s="276">
        <f t="shared" si="30"/>
        <v>0.375</v>
      </c>
    </row>
    <row r="403" spans="15:18">
      <c r="O403" s="340"/>
      <c r="Q403" s="275">
        <f t="shared" si="29"/>
        <v>0.36600000000000027</v>
      </c>
      <c r="R403" s="276">
        <f t="shared" si="30"/>
        <v>0.375</v>
      </c>
    </row>
    <row r="404" spans="15:18">
      <c r="O404" s="340"/>
      <c r="Q404" s="275">
        <f t="shared" si="29"/>
        <v>0.36700000000000027</v>
      </c>
      <c r="R404" s="276">
        <f t="shared" si="30"/>
        <v>0.375</v>
      </c>
    </row>
    <row r="405" spans="15:18">
      <c r="O405" s="340"/>
      <c r="Q405" s="275">
        <f t="shared" si="29"/>
        <v>0.36800000000000027</v>
      </c>
      <c r="R405" s="276">
        <f t="shared" si="30"/>
        <v>0.375</v>
      </c>
    </row>
    <row r="406" spans="15:18">
      <c r="O406" s="340"/>
      <c r="Q406" s="275">
        <f t="shared" si="29"/>
        <v>0.36900000000000027</v>
      </c>
      <c r="R406" s="276">
        <f t="shared" si="30"/>
        <v>0.375</v>
      </c>
    </row>
    <row r="407" spans="15:18">
      <c r="O407" s="340"/>
      <c r="Q407" s="275">
        <f t="shared" si="29"/>
        <v>0.37000000000000027</v>
      </c>
      <c r="R407" s="276">
        <f t="shared" si="30"/>
        <v>0.375</v>
      </c>
    </row>
    <row r="408" spans="15:18">
      <c r="O408" s="340"/>
      <c r="Q408" s="275">
        <f t="shared" si="29"/>
        <v>0.37100000000000027</v>
      </c>
      <c r="R408" s="276">
        <f t="shared" si="30"/>
        <v>0.375</v>
      </c>
    </row>
    <row r="409" spans="15:18">
      <c r="O409" s="340"/>
      <c r="Q409" s="275">
        <f t="shared" si="29"/>
        <v>0.37200000000000027</v>
      </c>
      <c r="R409" s="276">
        <f t="shared" si="30"/>
        <v>0.375</v>
      </c>
    </row>
    <row r="410" spans="15:18">
      <c r="O410" s="340"/>
      <c r="Q410" s="275">
        <f t="shared" si="29"/>
        <v>0.37300000000000028</v>
      </c>
      <c r="R410" s="276">
        <f t="shared" si="30"/>
        <v>0.375</v>
      </c>
    </row>
    <row r="411" spans="15:18">
      <c r="O411" s="340"/>
      <c r="Q411" s="275">
        <f t="shared" si="29"/>
        <v>0.37400000000000028</v>
      </c>
      <c r="R411" s="276">
        <f t="shared" si="30"/>
        <v>0.375</v>
      </c>
    </row>
    <row r="412" spans="15:18">
      <c r="O412" s="340"/>
      <c r="Q412" s="275">
        <f t="shared" si="29"/>
        <v>0.37500000000000028</v>
      </c>
      <c r="R412" s="276">
        <f t="shared" si="30"/>
        <v>0.375</v>
      </c>
    </row>
    <row r="413" spans="15:18">
      <c r="O413" s="340"/>
      <c r="Q413" s="275">
        <f t="shared" si="29"/>
        <v>0.37600000000000028</v>
      </c>
      <c r="R413" s="276">
        <f t="shared" ref="R413:R444" si="31">1/2</f>
        <v>0.5</v>
      </c>
    </row>
    <row r="414" spans="15:18">
      <c r="O414" s="340"/>
      <c r="Q414" s="275">
        <f t="shared" si="29"/>
        <v>0.37700000000000028</v>
      </c>
      <c r="R414" s="276">
        <f t="shared" si="31"/>
        <v>0.5</v>
      </c>
    </row>
    <row r="415" spans="15:18">
      <c r="O415" s="340"/>
      <c r="Q415" s="275">
        <f t="shared" si="29"/>
        <v>0.37800000000000028</v>
      </c>
      <c r="R415" s="276">
        <f t="shared" si="31"/>
        <v>0.5</v>
      </c>
    </row>
    <row r="416" spans="15:18">
      <c r="O416" s="340"/>
      <c r="Q416" s="275">
        <f t="shared" si="29"/>
        <v>0.37900000000000028</v>
      </c>
      <c r="R416" s="276">
        <f t="shared" si="31"/>
        <v>0.5</v>
      </c>
    </row>
    <row r="417" spans="15:18">
      <c r="O417" s="340"/>
      <c r="Q417" s="275">
        <f t="shared" si="29"/>
        <v>0.38000000000000028</v>
      </c>
      <c r="R417" s="276">
        <f t="shared" si="31"/>
        <v>0.5</v>
      </c>
    </row>
    <row r="418" spans="15:18">
      <c r="O418" s="340"/>
      <c r="Q418" s="275">
        <f t="shared" si="29"/>
        <v>0.38100000000000028</v>
      </c>
      <c r="R418" s="276">
        <f t="shared" si="31"/>
        <v>0.5</v>
      </c>
    </row>
    <row r="419" spans="15:18">
      <c r="O419" s="340"/>
      <c r="Q419" s="275">
        <f t="shared" si="29"/>
        <v>0.38200000000000028</v>
      </c>
      <c r="R419" s="276">
        <f t="shared" si="31"/>
        <v>0.5</v>
      </c>
    </row>
    <row r="420" spans="15:18">
      <c r="O420" s="340"/>
      <c r="Q420" s="275">
        <f t="shared" si="29"/>
        <v>0.38300000000000028</v>
      </c>
      <c r="R420" s="276">
        <f t="shared" si="31"/>
        <v>0.5</v>
      </c>
    </row>
    <row r="421" spans="15:18">
      <c r="O421" s="340"/>
      <c r="Q421" s="275">
        <f t="shared" si="29"/>
        <v>0.38400000000000029</v>
      </c>
      <c r="R421" s="276">
        <f t="shared" si="31"/>
        <v>0.5</v>
      </c>
    </row>
    <row r="422" spans="15:18">
      <c r="O422" s="340"/>
      <c r="Q422" s="275">
        <f t="shared" si="29"/>
        <v>0.38500000000000029</v>
      </c>
      <c r="R422" s="276">
        <f t="shared" si="31"/>
        <v>0.5</v>
      </c>
    </row>
    <row r="423" spans="15:18">
      <c r="O423" s="340"/>
      <c r="Q423" s="275">
        <f t="shared" ref="Q423:Q486" si="32">Q422+0.001</f>
        <v>0.38600000000000029</v>
      </c>
      <c r="R423" s="276">
        <f t="shared" si="31"/>
        <v>0.5</v>
      </c>
    </row>
    <row r="424" spans="15:18">
      <c r="O424" s="340"/>
      <c r="Q424" s="275">
        <f t="shared" si="32"/>
        <v>0.38700000000000029</v>
      </c>
      <c r="R424" s="276">
        <f t="shared" si="31"/>
        <v>0.5</v>
      </c>
    </row>
    <row r="425" spans="15:18">
      <c r="O425" s="340"/>
      <c r="Q425" s="275">
        <f t="shared" si="32"/>
        <v>0.38800000000000029</v>
      </c>
      <c r="R425" s="276">
        <f t="shared" si="31"/>
        <v>0.5</v>
      </c>
    </row>
    <row r="426" spans="15:18">
      <c r="O426" s="340"/>
      <c r="Q426" s="275">
        <f t="shared" si="32"/>
        <v>0.38900000000000029</v>
      </c>
      <c r="R426" s="276">
        <f t="shared" si="31"/>
        <v>0.5</v>
      </c>
    </row>
    <row r="427" spans="15:18">
      <c r="O427" s="340"/>
      <c r="Q427" s="275">
        <f t="shared" si="32"/>
        <v>0.39000000000000029</v>
      </c>
      <c r="R427" s="276">
        <f t="shared" si="31"/>
        <v>0.5</v>
      </c>
    </row>
    <row r="428" spans="15:18">
      <c r="O428" s="340"/>
      <c r="Q428" s="275">
        <f t="shared" si="32"/>
        <v>0.39100000000000029</v>
      </c>
      <c r="R428" s="276">
        <f t="shared" si="31"/>
        <v>0.5</v>
      </c>
    </row>
    <row r="429" spans="15:18">
      <c r="O429" s="340"/>
      <c r="Q429" s="275">
        <f t="shared" si="32"/>
        <v>0.39200000000000029</v>
      </c>
      <c r="R429" s="276">
        <f t="shared" si="31"/>
        <v>0.5</v>
      </c>
    </row>
    <row r="430" spans="15:18">
      <c r="O430" s="340"/>
      <c r="Q430" s="275">
        <f t="shared" si="32"/>
        <v>0.39300000000000029</v>
      </c>
      <c r="R430" s="276">
        <f t="shared" si="31"/>
        <v>0.5</v>
      </c>
    </row>
    <row r="431" spans="15:18">
      <c r="O431" s="340"/>
      <c r="Q431" s="275">
        <f t="shared" si="32"/>
        <v>0.39400000000000029</v>
      </c>
      <c r="R431" s="276">
        <f t="shared" si="31"/>
        <v>0.5</v>
      </c>
    </row>
    <row r="432" spans="15:18">
      <c r="O432" s="340"/>
      <c r="Q432" s="275">
        <f t="shared" si="32"/>
        <v>0.3950000000000003</v>
      </c>
      <c r="R432" s="276">
        <f t="shared" si="31"/>
        <v>0.5</v>
      </c>
    </row>
    <row r="433" spans="15:18">
      <c r="O433" s="340"/>
      <c r="Q433" s="275">
        <f t="shared" si="32"/>
        <v>0.3960000000000003</v>
      </c>
      <c r="R433" s="276">
        <f t="shared" si="31"/>
        <v>0.5</v>
      </c>
    </row>
    <row r="434" spans="15:18">
      <c r="O434" s="340"/>
      <c r="Q434" s="275">
        <f t="shared" si="32"/>
        <v>0.3970000000000003</v>
      </c>
      <c r="R434" s="276">
        <f t="shared" si="31"/>
        <v>0.5</v>
      </c>
    </row>
    <row r="435" spans="15:18">
      <c r="O435" s="340"/>
      <c r="Q435" s="275">
        <f t="shared" si="32"/>
        <v>0.3980000000000003</v>
      </c>
      <c r="R435" s="276">
        <f t="shared" si="31"/>
        <v>0.5</v>
      </c>
    </row>
    <row r="436" spans="15:18">
      <c r="O436" s="340"/>
      <c r="Q436" s="275">
        <f t="shared" si="32"/>
        <v>0.3990000000000003</v>
      </c>
      <c r="R436" s="276">
        <f t="shared" si="31"/>
        <v>0.5</v>
      </c>
    </row>
    <row r="437" spans="15:18">
      <c r="O437" s="340"/>
      <c r="Q437" s="275">
        <f t="shared" si="32"/>
        <v>0.4000000000000003</v>
      </c>
      <c r="R437" s="276">
        <f t="shared" si="31"/>
        <v>0.5</v>
      </c>
    </row>
    <row r="438" spans="15:18">
      <c r="O438" s="340"/>
      <c r="Q438" s="275">
        <f t="shared" si="32"/>
        <v>0.4010000000000003</v>
      </c>
      <c r="R438" s="276">
        <f t="shared" si="31"/>
        <v>0.5</v>
      </c>
    </row>
    <row r="439" spans="15:18">
      <c r="O439" s="340"/>
      <c r="Q439" s="275">
        <f t="shared" si="32"/>
        <v>0.4020000000000003</v>
      </c>
      <c r="R439" s="276">
        <f t="shared" si="31"/>
        <v>0.5</v>
      </c>
    </row>
    <row r="440" spans="15:18">
      <c r="O440" s="340"/>
      <c r="Q440" s="275">
        <f t="shared" si="32"/>
        <v>0.4030000000000003</v>
      </c>
      <c r="R440" s="276">
        <f t="shared" si="31"/>
        <v>0.5</v>
      </c>
    </row>
    <row r="441" spans="15:18">
      <c r="O441" s="340"/>
      <c r="Q441" s="275">
        <f t="shared" si="32"/>
        <v>0.4040000000000003</v>
      </c>
      <c r="R441" s="276">
        <f t="shared" si="31"/>
        <v>0.5</v>
      </c>
    </row>
    <row r="442" spans="15:18">
      <c r="O442" s="340"/>
      <c r="Q442" s="275">
        <f t="shared" si="32"/>
        <v>0.4050000000000003</v>
      </c>
      <c r="R442" s="276">
        <f t="shared" si="31"/>
        <v>0.5</v>
      </c>
    </row>
    <row r="443" spans="15:18">
      <c r="O443" s="340"/>
      <c r="Q443" s="275">
        <f t="shared" si="32"/>
        <v>0.40600000000000031</v>
      </c>
      <c r="R443" s="276">
        <f t="shared" si="31"/>
        <v>0.5</v>
      </c>
    </row>
    <row r="444" spans="15:18">
      <c r="O444" s="340"/>
      <c r="Q444" s="275">
        <f t="shared" si="32"/>
        <v>0.40700000000000031</v>
      </c>
      <c r="R444" s="276">
        <f t="shared" si="31"/>
        <v>0.5</v>
      </c>
    </row>
    <row r="445" spans="15:18">
      <c r="O445" s="340"/>
      <c r="Q445" s="275">
        <f t="shared" si="32"/>
        <v>0.40800000000000031</v>
      </c>
      <c r="R445" s="276">
        <f t="shared" ref="R445:R476" si="33">1/2</f>
        <v>0.5</v>
      </c>
    </row>
    <row r="446" spans="15:18">
      <c r="O446" s="340"/>
      <c r="Q446" s="275">
        <f t="shared" si="32"/>
        <v>0.40900000000000031</v>
      </c>
      <c r="R446" s="276">
        <f t="shared" si="33"/>
        <v>0.5</v>
      </c>
    </row>
    <row r="447" spans="15:18">
      <c r="O447" s="340"/>
      <c r="Q447" s="275">
        <f t="shared" si="32"/>
        <v>0.41000000000000031</v>
      </c>
      <c r="R447" s="276">
        <f t="shared" si="33"/>
        <v>0.5</v>
      </c>
    </row>
    <row r="448" spans="15:18">
      <c r="O448" s="340"/>
      <c r="Q448" s="275">
        <f t="shared" si="32"/>
        <v>0.41100000000000031</v>
      </c>
      <c r="R448" s="276">
        <f t="shared" si="33"/>
        <v>0.5</v>
      </c>
    </row>
    <row r="449" spans="15:18">
      <c r="O449" s="340"/>
      <c r="Q449" s="275">
        <f t="shared" si="32"/>
        <v>0.41200000000000031</v>
      </c>
      <c r="R449" s="276">
        <f t="shared" si="33"/>
        <v>0.5</v>
      </c>
    </row>
    <row r="450" spans="15:18">
      <c r="O450" s="340"/>
      <c r="Q450" s="275">
        <f t="shared" si="32"/>
        <v>0.41300000000000031</v>
      </c>
      <c r="R450" s="276">
        <f t="shared" si="33"/>
        <v>0.5</v>
      </c>
    </row>
    <row r="451" spans="15:18">
      <c r="O451" s="340"/>
      <c r="Q451" s="275">
        <f t="shared" si="32"/>
        <v>0.41400000000000031</v>
      </c>
      <c r="R451" s="276">
        <f t="shared" si="33"/>
        <v>0.5</v>
      </c>
    </row>
    <row r="452" spans="15:18">
      <c r="O452" s="340"/>
      <c r="Q452" s="275">
        <f t="shared" si="32"/>
        <v>0.41500000000000031</v>
      </c>
      <c r="R452" s="276">
        <f t="shared" si="33"/>
        <v>0.5</v>
      </c>
    </row>
    <row r="453" spans="15:18">
      <c r="O453" s="340"/>
      <c r="Q453" s="275">
        <f t="shared" si="32"/>
        <v>0.41600000000000031</v>
      </c>
      <c r="R453" s="276">
        <f t="shared" si="33"/>
        <v>0.5</v>
      </c>
    </row>
    <row r="454" spans="15:18">
      <c r="O454" s="340"/>
      <c r="Q454" s="275">
        <f t="shared" si="32"/>
        <v>0.41700000000000031</v>
      </c>
      <c r="R454" s="276">
        <f t="shared" si="33"/>
        <v>0.5</v>
      </c>
    </row>
    <row r="455" spans="15:18">
      <c r="O455" s="340"/>
      <c r="Q455" s="275">
        <f t="shared" si="32"/>
        <v>0.41800000000000032</v>
      </c>
      <c r="R455" s="276">
        <f t="shared" si="33"/>
        <v>0.5</v>
      </c>
    </row>
    <row r="456" spans="15:18">
      <c r="O456" s="340"/>
      <c r="Q456" s="275">
        <f t="shared" si="32"/>
        <v>0.41900000000000032</v>
      </c>
      <c r="R456" s="276">
        <f t="shared" si="33"/>
        <v>0.5</v>
      </c>
    </row>
    <row r="457" spans="15:18">
      <c r="O457" s="340"/>
      <c r="Q457" s="275">
        <f t="shared" si="32"/>
        <v>0.42000000000000032</v>
      </c>
      <c r="R457" s="276">
        <f t="shared" si="33"/>
        <v>0.5</v>
      </c>
    </row>
    <row r="458" spans="15:18">
      <c r="O458" s="340"/>
      <c r="Q458" s="275">
        <f t="shared" si="32"/>
        <v>0.42100000000000032</v>
      </c>
      <c r="R458" s="276">
        <f t="shared" si="33"/>
        <v>0.5</v>
      </c>
    </row>
    <row r="459" spans="15:18">
      <c r="O459" s="340"/>
      <c r="Q459" s="275">
        <f t="shared" si="32"/>
        <v>0.42200000000000032</v>
      </c>
      <c r="R459" s="276">
        <f t="shared" si="33"/>
        <v>0.5</v>
      </c>
    </row>
    <row r="460" spans="15:18">
      <c r="O460" s="340"/>
      <c r="Q460" s="275">
        <f t="shared" si="32"/>
        <v>0.42300000000000032</v>
      </c>
      <c r="R460" s="276">
        <f t="shared" si="33"/>
        <v>0.5</v>
      </c>
    </row>
    <row r="461" spans="15:18">
      <c r="O461" s="340"/>
      <c r="Q461" s="275">
        <f t="shared" si="32"/>
        <v>0.42400000000000032</v>
      </c>
      <c r="R461" s="276">
        <f t="shared" si="33"/>
        <v>0.5</v>
      </c>
    </row>
    <row r="462" spans="15:18">
      <c r="O462" s="340"/>
      <c r="Q462" s="275">
        <f t="shared" si="32"/>
        <v>0.42500000000000032</v>
      </c>
      <c r="R462" s="276">
        <f t="shared" si="33"/>
        <v>0.5</v>
      </c>
    </row>
    <row r="463" spans="15:18">
      <c r="O463" s="340"/>
      <c r="Q463" s="275">
        <f t="shared" si="32"/>
        <v>0.42600000000000032</v>
      </c>
      <c r="R463" s="276">
        <f t="shared" si="33"/>
        <v>0.5</v>
      </c>
    </row>
    <row r="464" spans="15:18">
      <c r="O464" s="340"/>
      <c r="Q464" s="275">
        <f t="shared" si="32"/>
        <v>0.42700000000000032</v>
      </c>
      <c r="R464" s="276">
        <f t="shared" si="33"/>
        <v>0.5</v>
      </c>
    </row>
    <row r="465" spans="15:18">
      <c r="O465" s="340"/>
      <c r="Q465" s="275">
        <f t="shared" si="32"/>
        <v>0.42800000000000032</v>
      </c>
      <c r="R465" s="276">
        <f t="shared" si="33"/>
        <v>0.5</v>
      </c>
    </row>
    <row r="466" spans="15:18">
      <c r="O466" s="340"/>
      <c r="Q466" s="275">
        <f t="shared" si="32"/>
        <v>0.42900000000000033</v>
      </c>
      <c r="R466" s="276">
        <f t="shared" si="33"/>
        <v>0.5</v>
      </c>
    </row>
    <row r="467" spans="15:18">
      <c r="O467" s="340"/>
      <c r="Q467" s="275">
        <f t="shared" si="32"/>
        <v>0.43000000000000033</v>
      </c>
      <c r="R467" s="276">
        <f t="shared" si="33"/>
        <v>0.5</v>
      </c>
    </row>
    <row r="468" spans="15:18">
      <c r="O468" s="340"/>
      <c r="Q468" s="275">
        <f t="shared" si="32"/>
        <v>0.43100000000000033</v>
      </c>
      <c r="R468" s="276">
        <f t="shared" si="33"/>
        <v>0.5</v>
      </c>
    </row>
    <row r="469" spans="15:18">
      <c r="O469" s="340"/>
      <c r="Q469" s="275">
        <f t="shared" si="32"/>
        <v>0.43200000000000033</v>
      </c>
      <c r="R469" s="276">
        <f t="shared" si="33"/>
        <v>0.5</v>
      </c>
    </row>
    <row r="470" spans="15:18">
      <c r="O470" s="340"/>
      <c r="Q470" s="275">
        <f t="shared" si="32"/>
        <v>0.43300000000000033</v>
      </c>
      <c r="R470" s="276">
        <f t="shared" si="33"/>
        <v>0.5</v>
      </c>
    </row>
    <row r="471" spans="15:18">
      <c r="O471" s="340"/>
      <c r="Q471" s="275">
        <f t="shared" si="32"/>
        <v>0.43400000000000033</v>
      </c>
      <c r="R471" s="276">
        <f t="shared" si="33"/>
        <v>0.5</v>
      </c>
    </row>
    <row r="472" spans="15:18">
      <c r="O472" s="340"/>
      <c r="Q472" s="275">
        <f t="shared" si="32"/>
        <v>0.43500000000000033</v>
      </c>
      <c r="R472" s="276">
        <f t="shared" si="33"/>
        <v>0.5</v>
      </c>
    </row>
    <row r="473" spans="15:18">
      <c r="O473" s="340"/>
      <c r="Q473" s="275">
        <f t="shared" si="32"/>
        <v>0.43600000000000033</v>
      </c>
      <c r="R473" s="276">
        <f t="shared" si="33"/>
        <v>0.5</v>
      </c>
    </row>
    <row r="474" spans="15:18">
      <c r="O474" s="340"/>
      <c r="Q474" s="275">
        <f t="shared" si="32"/>
        <v>0.43700000000000033</v>
      </c>
      <c r="R474" s="276">
        <f t="shared" si="33"/>
        <v>0.5</v>
      </c>
    </row>
    <row r="475" spans="15:18">
      <c r="O475" s="340"/>
      <c r="Q475" s="275">
        <f t="shared" si="32"/>
        <v>0.43800000000000033</v>
      </c>
      <c r="R475" s="276">
        <f t="shared" si="33"/>
        <v>0.5</v>
      </c>
    </row>
    <row r="476" spans="15:18">
      <c r="O476" s="340"/>
      <c r="Q476" s="275">
        <f t="shared" si="32"/>
        <v>0.43900000000000033</v>
      </c>
      <c r="R476" s="276">
        <f t="shared" si="33"/>
        <v>0.5</v>
      </c>
    </row>
    <row r="477" spans="15:18">
      <c r="O477" s="340"/>
      <c r="Q477" s="275">
        <f t="shared" si="32"/>
        <v>0.44000000000000034</v>
      </c>
      <c r="R477" s="276">
        <f t="shared" ref="R477:R508" si="34">1/2</f>
        <v>0.5</v>
      </c>
    </row>
    <row r="478" spans="15:18">
      <c r="O478" s="340"/>
      <c r="Q478" s="275">
        <f t="shared" si="32"/>
        <v>0.44100000000000034</v>
      </c>
      <c r="R478" s="276">
        <f t="shared" si="34"/>
        <v>0.5</v>
      </c>
    </row>
    <row r="479" spans="15:18">
      <c r="O479" s="340"/>
      <c r="Q479" s="275">
        <f t="shared" si="32"/>
        <v>0.44200000000000034</v>
      </c>
      <c r="R479" s="276">
        <f t="shared" si="34"/>
        <v>0.5</v>
      </c>
    </row>
    <row r="480" spans="15:18">
      <c r="O480" s="340"/>
      <c r="Q480" s="275">
        <f t="shared" si="32"/>
        <v>0.44300000000000034</v>
      </c>
      <c r="R480" s="276">
        <f t="shared" si="34"/>
        <v>0.5</v>
      </c>
    </row>
    <row r="481" spans="15:18">
      <c r="O481" s="340"/>
      <c r="Q481" s="275">
        <f t="shared" si="32"/>
        <v>0.44400000000000034</v>
      </c>
      <c r="R481" s="276">
        <f t="shared" si="34"/>
        <v>0.5</v>
      </c>
    </row>
    <row r="482" spans="15:18">
      <c r="O482" s="340"/>
      <c r="Q482" s="275">
        <f t="shared" si="32"/>
        <v>0.44500000000000034</v>
      </c>
      <c r="R482" s="276">
        <f t="shared" si="34"/>
        <v>0.5</v>
      </c>
    </row>
    <row r="483" spans="15:18">
      <c r="O483" s="340"/>
      <c r="Q483" s="275">
        <f t="shared" si="32"/>
        <v>0.44600000000000034</v>
      </c>
      <c r="R483" s="276">
        <f t="shared" si="34"/>
        <v>0.5</v>
      </c>
    </row>
    <row r="484" spans="15:18">
      <c r="O484" s="340"/>
      <c r="Q484" s="275">
        <f t="shared" si="32"/>
        <v>0.44700000000000034</v>
      </c>
      <c r="R484" s="276">
        <f t="shared" si="34"/>
        <v>0.5</v>
      </c>
    </row>
    <row r="485" spans="15:18">
      <c r="O485" s="340"/>
      <c r="Q485" s="275">
        <f t="shared" si="32"/>
        <v>0.44800000000000034</v>
      </c>
      <c r="R485" s="276">
        <f t="shared" si="34"/>
        <v>0.5</v>
      </c>
    </row>
    <row r="486" spans="15:18">
      <c r="O486" s="340"/>
      <c r="Q486" s="275">
        <f t="shared" si="32"/>
        <v>0.44900000000000034</v>
      </c>
      <c r="R486" s="276">
        <f t="shared" si="34"/>
        <v>0.5</v>
      </c>
    </row>
    <row r="487" spans="15:18">
      <c r="O487" s="340"/>
      <c r="Q487" s="275">
        <f t="shared" ref="Q487:Q550" si="35">Q486+0.001</f>
        <v>0.45000000000000034</v>
      </c>
      <c r="R487" s="276">
        <f t="shared" si="34"/>
        <v>0.5</v>
      </c>
    </row>
    <row r="488" spans="15:18">
      <c r="O488" s="340"/>
      <c r="Q488" s="275">
        <f t="shared" si="35"/>
        <v>0.45100000000000035</v>
      </c>
      <c r="R488" s="276">
        <f t="shared" si="34"/>
        <v>0.5</v>
      </c>
    </row>
    <row r="489" spans="15:18">
      <c r="O489" s="340"/>
      <c r="Q489" s="275">
        <f t="shared" si="35"/>
        <v>0.45200000000000035</v>
      </c>
      <c r="R489" s="276">
        <f t="shared" si="34"/>
        <v>0.5</v>
      </c>
    </row>
    <row r="490" spans="15:18">
      <c r="O490" s="340"/>
      <c r="Q490" s="275">
        <f t="shared" si="35"/>
        <v>0.45300000000000035</v>
      </c>
      <c r="R490" s="276">
        <f t="shared" si="34"/>
        <v>0.5</v>
      </c>
    </row>
    <row r="491" spans="15:18">
      <c r="O491" s="340"/>
      <c r="Q491" s="275">
        <f t="shared" si="35"/>
        <v>0.45400000000000035</v>
      </c>
      <c r="R491" s="276">
        <f t="shared" si="34"/>
        <v>0.5</v>
      </c>
    </row>
    <row r="492" spans="15:18">
      <c r="O492" s="340"/>
      <c r="Q492" s="275">
        <f t="shared" si="35"/>
        <v>0.45500000000000035</v>
      </c>
      <c r="R492" s="276">
        <f t="shared" si="34"/>
        <v>0.5</v>
      </c>
    </row>
    <row r="493" spans="15:18">
      <c r="O493" s="340"/>
      <c r="Q493" s="275">
        <f t="shared" si="35"/>
        <v>0.45600000000000035</v>
      </c>
      <c r="R493" s="276">
        <f t="shared" si="34"/>
        <v>0.5</v>
      </c>
    </row>
    <row r="494" spans="15:18">
      <c r="O494" s="340"/>
      <c r="Q494" s="275">
        <f t="shared" si="35"/>
        <v>0.45700000000000035</v>
      </c>
      <c r="R494" s="276">
        <f t="shared" si="34"/>
        <v>0.5</v>
      </c>
    </row>
    <row r="495" spans="15:18">
      <c r="O495" s="340"/>
      <c r="Q495" s="275">
        <f t="shared" si="35"/>
        <v>0.45800000000000035</v>
      </c>
      <c r="R495" s="276">
        <f t="shared" si="34"/>
        <v>0.5</v>
      </c>
    </row>
    <row r="496" spans="15:18">
      <c r="O496" s="340"/>
      <c r="Q496" s="275">
        <f t="shared" si="35"/>
        <v>0.45900000000000035</v>
      </c>
      <c r="R496" s="276">
        <f t="shared" si="34"/>
        <v>0.5</v>
      </c>
    </row>
    <row r="497" spans="15:18">
      <c r="O497" s="340"/>
      <c r="Q497" s="275">
        <f t="shared" si="35"/>
        <v>0.46000000000000035</v>
      </c>
      <c r="R497" s="276">
        <f t="shared" si="34"/>
        <v>0.5</v>
      </c>
    </row>
    <row r="498" spans="15:18">
      <c r="O498" s="340"/>
      <c r="Q498" s="275">
        <f t="shared" si="35"/>
        <v>0.46100000000000035</v>
      </c>
      <c r="R498" s="276">
        <f t="shared" si="34"/>
        <v>0.5</v>
      </c>
    </row>
    <row r="499" spans="15:18">
      <c r="O499" s="340"/>
      <c r="Q499" s="275">
        <f t="shared" si="35"/>
        <v>0.46200000000000035</v>
      </c>
      <c r="R499" s="276">
        <f t="shared" si="34"/>
        <v>0.5</v>
      </c>
    </row>
    <row r="500" spans="15:18">
      <c r="O500" s="340"/>
      <c r="Q500" s="275">
        <f t="shared" si="35"/>
        <v>0.46300000000000036</v>
      </c>
      <c r="R500" s="276">
        <f t="shared" si="34"/>
        <v>0.5</v>
      </c>
    </row>
    <row r="501" spans="15:18">
      <c r="O501" s="340"/>
      <c r="Q501" s="275">
        <f t="shared" si="35"/>
        <v>0.46400000000000036</v>
      </c>
      <c r="R501" s="276">
        <f t="shared" si="34"/>
        <v>0.5</v>
      </c>
    </row>
    <row r="502" spans="15:18">
      <c r="O502" s="340"/>
      <c r="Q502" s="275">
        <f t="shared" si="35"/>
        <v>0.46500000000000036</v>
      </c>
      <c r="R502" s="276">
        <f t="shared" si="34"/>
        <v>0.5</v>
      </c>
    </row>
    <row r="503" spans="15:18">
      <c r="O503" s="340"/>
      <c r="Q503" s="275">
        <f t="shared" si="35"/>
        <v>0.46600000000000036</v>
      </c>
      <c r="R503" s="276">
        <f t="shared" si="34"/>
        <v>0.5</v>
      </c>
    </row>
    <row r="504" spans="15:18">
      <c r="O504" s="340"/>
      <c r="Q504" s="275">
        <f t="shared" si="35"/>
        <v>0.46700000000000036</v>
      </c>
      <c r="R504" s="276">
        <f t="shared" si="34"/>
        <v>0.5</v>
      </c>
    </row>
    <row r="505" spans="15:18">
      <c r="O505" s="340"/>
      <c r="Q505" s="275">
        <f t="shared" si="35"/>
        <v>0.46800000000000036</v>
      </c>
      <c r="R505" s="276">
        <f t="shared" si="34"/>
        <v>0.5</v>
      </c>
    </row>
    <row r="506" spans="15:18">
      <c r="O506" s="340"/>
      <c r="Q506" s="275">
        <f t="shared" si="35"/>
        <v>0.46900000000000036</v>
      </c>
      <c r="R506" s="276">
        <f t="shared" si="34"/>
        <v>0.5</v>
      </c>
    </row>
    <row r="507" spans="15:18">
      <c r="O507" s="340"/>
      <c r="Q507" s="275">
        <f t="shared" si="35"/>
        <v>0.47000000000000036</v>
      </c>
      <c r="R507" s="276">
        <f t="shared" si="34"/>
        <v>0.5</v>
      </c>
    </row>
    <row r="508" spans="15:18">
      <c r="O508" s="340"/>
      <c r="Q508" s="275">
        <f t="shared" si="35"/>
        <v>0.47100000000000036</v>
      </c>
      <c r="R508" s="276">
        <f t="shared" si="34"/>
        <v>0.5</v>
      </c>
    </row>
    <row r="509" spans="15:18">
      <c r="O509" s="340"/>
      <c r="Q509" s="275">
        <f t="shared" si="35"/>
        <v>0.47200000000000036</v>
      </c>
      <c r="R509" s="276">
        <f t="shared" ref="R509:R537" si="36">1/2</f>
        <v>0.5</v>
      </c>
    </row>
    <row r="510" spans="15:18">
      <c r="O510" s="340"/>
      <c r="Q510" s="275">
        <f t="shared" si="35"/>
        <v>0.47300000000000036</v>
      </c>
      <c r="R510" s="276">
        <f t="shared" si="36"/>
        <v>0.5</v>
      </c>
    </row>
    <row r="511" spans="15:18">
      <c r="O511" s="340"/>
      <c r="Q511" s="275">
        <f t="shared" si="35"/>
        <v>0.47400000000000037</v>
      </c>
      <c r="R511" s="276">
        <f t="shared" si="36"/>
        <v>0.5</v>
      </c>
    </row>
    <row r="512" spans="15:18">
      <c r="O512" s="340"/>
      <c r="Q512" s="275">
        <f t="shared" si="35"/>
        <v>0.47500000000000037</v>
      </c>
      <c r="R512" s="276">
        <f t="shared" si="36"/>
        <v>0.5</v>
      </c>
    </row>
    <row r="513" spans="15:18">
      <c r="O513" s="340"/>
      <c r="Q513" s="275">
        <f t="shared" si="35"/>
        <v>0.47600000000000037</v>
      </c>
      <c r="R513" s="276">
        <f t="shared" si="36"/>
        <v>0.5</v>
      </c>
    </row>
    <row r="514" spans="15:18">
      <c r="O514" s="340"/>
      <c r="Q514" s="275">
        <f t="shared" si="35"/>
        <v>0.47700000000000037</v>
      </c>
      <c r="R514" s="276">
        <f t="shared" si="36"/>
        <v>0.5</v>
      </c>
    </row>
    <row r="515" spans="15:18">
      <c r="O515" s="340"/>
      <c r="Q515" s="275">
        <f t="shared" si="35"/>
        <v>0.47800000000000037</v>
      </c>
      <c r="R515" s="276">
        <f t="shared" si="36"/>
        <v>0.5</v>
      </c>
    </row>
    <row r="516" spans="15:18">
      <c r="O516" s="340"/>
      <c r="Q516" s="275">
        <f t="shared" si="35"/>
        <v>0.47900000000000037</v>
      </c>
      <c r="R516" s="276">
        <f t="shared" si="36"/>
        <v>0.5</v>
      </c>
    </row>
    <row r="517" spans="15:18">
      <c r="O517" s="340"/>
      <c r="Q517" s="275">
        <f t="shared" si="35"/>
        <v>0.48000000000000037</v>
      </c>
      <c r="R517" s="276">
        <f t="shared" si="36"/>
        <v>0.5</v>
      </c>
    </row>
    <row r="518" spans="15:18">
      <c r="O518" s="340"/>
      <c r="Q518" s="275">
        <f t="shared" si="35"/>
        <v>0.48100000000000037</v>
      </c>
      <c r="R518" s="276">
        <f t="shared" si="36"/>
        <v>0.5</v>
      </c>
    </row>
    <row r="519" spans="15:18">
      <c r="O519" s="340"/>
      <c r="Q519" s="275">
        <f t="shared" si="35"/>
        <v>0.48200000000000037</v>
      </c>
      <c r="R519" s="276">
        <f t="shared" si="36"/>
        <v>0.5</v>
      </c>
    </row>
    <row r="520" spans="15:18">
      <c r="O520" s="340"/>
      <c r="Q520" s="275">
        <f t="shared" si="35"/>
        <v>0.48300000000000037</v>
      </c>
      <c r="R520" s="276">
        <f t="shared" si="36"/>
        <v>0.5</v>
      </c>
    </row>
    <row r="521" spans="15:18">
      <c r="O521" s="340"/>
      <c r="Q521" s="275">
        <f t="shared" si="35"/>
        <v>0.48400000000000037</v>
      </c>
      <c r="R521" s="276">
        <f t="shared" si="36"/>
        <v>0.5</v>
      </c>
    </row>
    <row r="522" spans="15:18">
      <c r="O522" s="340"/>
      <c r="Q522" s="275">
        <f t="shared" si="35"/>
        <v>0.48500000000000038</v>
      </c>
      <c r="R522" s="276">
        <f t="shared" si="36"/>
        <v>0.5</v>
      </c>
    </row>
    <row r="523" spans="15:18">
      <c r="O523" s="340"/>
      <c r="Q523" s="275">
        <f t="shared" si="35"/>
        <v>0.48600000000000038</v>
      </c>
      <c r="R523" s="276">
        <f t="shared" si="36"/>
        <v>0.5</v>
      </c>
    </row>
    <row r="524" spans="15:18">
      <c r="O524" s="340"/>
      <c r="Q524" s="275">
        <f t="shared" si="35"/>
        <v>0.48700000000000038</v>
      </c>
      <c r="R524" s="276">
        <f t="shared" si="36"/>
        <v>0.5</v>
      </c>
    </row>
    <row r="525" spans="15:18">
      <c r="O525" s="340"/>
      <c r="Q525" s="275">
        <f t="shared" si="35"/>
        <v>0.48800000000000038</v>
      </c>
      <c r="R525" s="276">
        <f t="shared" si="36"/>
        <v>0.5</v>
      </c>
    </row>
    <row r="526" spans="15:18">
      <c r="O526" s="340"/>
      <c r="Q526" s="275">
        <f t="shared" si="35"/>
        <v>0.48900000000000038</v>
      </c>
      <c r="R526" s="276">
        <f t="shared" si="36"/>
        <v>0.5</v>
      </c>
    </row>
    <row r="527" spans="15:18">
      <c r="O527" s="340"/>
      <c r="Q527" s="275">
        <f t="shared" si="35"/>
        <v>0.49000000000000038</v>
      </c>
      <c r="R527" s="276">
        <f t="shared" si="36"/>
        <v>0.5</v>
      </c>
    </row>
    <row r="528" spans="15:18">
      <c r="O528" s="340"/>
      <c r="Q528" s="275">
        <f t="shared" si="35"/>
        <v>0.49100000000000038</v>
      </c>
      <c r="R528" s="276">
        <f t="shared" si="36"/>
        <v>0.5</v>
      </c>
    </row>
    <row r="529" spans="15:18">
      <c r="O529" s="340"/>
      <c r="Q529" s="275">
        <f t="shared" si="35"/>
        <v>0.49200000000000038</v>
      </c>
      <c r="R529" s="276">
        <f t="shared" si="36"/>
        <v>0.5</v>
      </c>
    </row>
    <row r="530" spans="15:18">
      <c r="O530" s="340"/>
      <c r="Q530" s="275">
        <f t="shared" si="35"/>
        <v>0.49300000000000038</v>
      </c>
      <c r="R530" s="276">
        <f t="shared" si="36"/>
        <v>0.5</v>
      </c>
    </row>
    <row r="531" spans="15:18">
      <c r="O531" s="340"/>
      <c r="Q531" s="275">
        <f t="shared" si="35"/>
        <v>0.49400000000000038</v>
      </c>
      <c r="R531" s="276">
        <f t="shared" si="36"/>
        <v>0.5</v>
      </c>
    </row>
    <row r="532" spans="15:18">
      <c r="O532" s="340"/>
      <c r="Q532" s="275">
        <f t="shared" si="35"/>
        <v>0.49500000000000038</v>
      </c>
      <c r="R532" s="276">
        <f t="shared" si="36"/>
        <v>0.5</v>
      </c>
    </row>
    <row r="533" spans="15:18">
      <c r="O533" s="340"/>
      <c r="Q533" s="275">
        <f t="shared" si="35"/>
        <v>0.49600000000000039</v>
      </c>
      <c r="R533" s="276">
        <f t="shared" si="36"/>
        <v>0.5</v>
      </c>
    </row>
    <row r="534" spans="15:18">
      <c r="O534" s="340"/>
      <c r="Q534" s="275">
        <f t="shared" si="35"/>
        <v>0.49700000000000039</v>
      </c>
      <c r="R534" s="276">
        <f t="shared" si="36"/>
        <v>0.5</v>
      </c>
    </row>
    <row r="535" spans="15:18">
      <c r="O535" s="340"/>
      <c r="Q535" s="275">
        <f t="shared" si="35"/>
        <v>0.49800000000000039</v>
      </c>
      <c r="R535" s="276">
        <f t="shared" si="36"/>
        <v>0.5</v>
      </c>
    </row>
    <row r="536" spans="15:18">
      <c r="O536" s="340"/>
      <c r="Q536" s="275">
        <f t="shared" si="35"/>
        <v>0.49900000000000039</v>
      </c>
      <c r="R536" s="276">
        <f t="shared" si="36"/>
        <v>0.5</v>
      </c>
    </row>
    <row r="537" spans="15:18">
      <c r="O537" s="340"/>
      <c r="Q537" s="275">
        <f t="shared" si="35"/>
        <v>0.50000000000000033</v>
      </c>
      <c r="R537" s="276">
        <f t="shared" si="36"/>
        <v>0.5</v>
      </c>
    </row>
    <row r="538" spans="15:18">
      <c r="O538" s="340"/>
      <c r="Q538" s="275">
        <f t="shared" si="35"/>
        <v>0.50100000000000033</v>
      </c>
      <c r="R538" s="276">
        <f t="shared" ref="R538:R569" si="37">5/8</f>
        <v>0.625</v>
      </c>
    </row>
    <row r="539" spans="15:18">
      <c r="O539" s="340"/>
      <c r="Q539" s="275">
        <f t="shared" si="35"/>
        <v>0.50200000000000033</v>
      </c>
      <c r="R539" s="276">
        <f t="shared" si="37"/>
        <v>0.625</v>
      </c>
    </row>
    <row r="540" spans="15:18">
      <c r="O540" s="340"/>
      <c r="Q540" s="275">
        <f t="shared" si="35"/>
        <v>0.50300000000000034</v>
      </c>
      <c r="R540" s="276">
        <f t="shared" si="37"/>
        <v>0.625</v>
      </c>
    </row>
    <row r="541" spans="15:18">
      <c r="O541" s="340"/>
      <c r="Q541" s="275">
        <f t="shared" si="35"/>
        <v>0.50400000000000034</v>
      </c>
      <c r="R541" s="276">
        <f t="shared" si="37"/>
        <v>0.625</v>
      </c>
    </row>
    <row r="542" spans="15:18">
      <c r="O542" s="340"/>
      <c r="Q542" s="275">
        <f t="shared" si="35"/>
        <v>0.50500000000000034</v>
      </c>
      <c r="R542" s="276">
        <f t="shared" si="37"/>
        <v>0.625</v>
      </c>
    </row>
    <row r="543" spans="15:18">
      <c r="O543" s="340"/>
      <c r="Q543" s="275">
        <f t="shared" si="35"/>
        <v>0.50600000000000034</v>
      </c>
      <c r="R543" s="276">
        <f t="shared" si="37"/>
        <v>0.625</v>
      </c>
    </row>
    <row r="544" spans="15:18">
      <c r="O544" s="340"/>
      <c r="Q544" s="275">
        <f t="shared" si="35"/>
        <v>0.50700000000000034</v>
      </c>
      <c r="R544" s="276">
        <f t="shared" si="37"/>
        <v>0.625</v>
      </c>
    </row>
    <row r="545" spans="15:18">
      <c r="O545" s="340"/>
      <c r="Q545" s="275">
        <f t="shared" si="35"/>
        <v>0.50800000000000034</v>
      </c>
      <c r="R545" s="276">
        <f t="shared" si="37"/>
        <v>0.625</v>
      </c>
    </row>
    <row r="546" spans="15:18">
      <c r="O546" s="340"/>
      <c r="Q546" s="275">
        <f t="shared" si="35"/>
        <v>0.50900000000000034</v>
      </c>
      <c r="R546" s="276">
        <f t="shared" si="37"/>
        <v>0.625</v>
      </c>
    </row>
    <row r="547" spans="15:18">
      <c r="O547" s="340"/>
      <c r="Q547" s="275">
        <f t="shared" si="35"/>
        <v>0.51000000000000034</v>
      </c>
      <c r="R547" s="276">
        <f t="shared" si="37"/>
        <v>0.625</v>
      </c>
    </row>
    <row r="548" spans="15:18">
      <c r="O548" s="340"/>
      <c r="Q548" s="275">
        <f t="shared" si="35"/>
        <v>0.51100000000000034</v>
      </c>
      <c r="R548" s="276">
        <f t="shared" si="37"/>
        <v>0.625</v>
      </c>
    </row>
    <row r="549" spans="15:18">
      <c r="O549" s="340"/>
      <c r="Q549" s="275">
        <f t="shared" si="35"/>
        <v>0.51200000000000034</v>
      </c>
      <c r="R549" s="276">
        <f t="shared" si="37"/>
        <v>0.625</v>
      </c>
    </row>
    <row r="550" spans="15:18">
      <c r="O550" s="340"/>
      <c r="Q550" s="275">
        <f t="shared" si="35"/>
        <v>0.51300000000000034</v>
      </c>
      <c r="R550" s="276">
        <f t="shared" si="37"/>
        <v>0.625</v>
      </c>
    </row>
    <row r="551" spans="15:18">
      <c r="O551" s="340"/>
      <c r="Q551" s="275">
        <f t="shared" ref="Q551:Q614" si="38">Q550+0.001</f>
        <v>0.51400000000000035</v>
      </c>
      <c r="R551" s="276">
        <f t="shared" si="37"/>
        <v>0.625</v>
      </c>
    </row>
    <row r="552" spans="15:18">
      <c r="O552" s="340"/>
      <c r="Q552" s="275">
        <f t="shared" si="38"/>
        <v>0.51500000000000035</v>
      </c>
      <c r="R552" s="276">
        <f t="shared" si="37"/>
        <v>0.625</v>
      </c>
    </row>
    <row r="553" spans="15:18">
      <c r="O553" s="340"/>
      <c r="Q553" s="275">
        <f t="shared" si="38"/>
        <v>0.51600000000000035</v>
      </c>
      <c r="R553" s="276">
        <f t="shared" si="37"/>
        <v>0.625</v>
      </c>
    </row>
    <row r="554" spans="15:18">
      <c r="O554" s="340"/>
      <c r="Q554" s="275">
        <f t="shared" si="38"/>
        <v>0.51700000000000035</v>
      </c>
      <c r="R554" s="276">
        <f t="shared" si="37"/>
        <v>0.625</v>
      </c>
    </row>
    <row r="555" spans="15:18">
      <c r="O555" s="340"/>
      <c r="Q555" s="275">
        <f t="shared" si="38"/>
        <v>0.51800000000000035</v>
      </c>
      <c r="R555" s="276">
        <f t="shared" si="37"/>
        <v>0.625</v>
      </c>
    </row>
    <row r="556" spans="15:18">
      <c r="O556" s="340"/>
      <c r="Q556" s="275">
        <f t="shared" si="38"/>
        <v>0.51900000000000035</v>
      </c>
      <c r="R556" s="276">
        <f t="shared" si="37"/>
        <v>0.625</v>
      </c>
    </row>
    <row r="557" spans="15:18">
      <c r="O557" s="340"/>
      <c r="Q557" s="275">
        <f t="shared" si="38"/>
        <v>0.52000000000000035</v>
      </c>
      <c r="R557" s="276">
        <f t="shared" si="37"/>
        <v>0.625</v>
      </c>
    </row>
    <row r="558" spans="15:18">
      <c r="O558" s="340"/>
      <c r="Q558" s="275">
        <f t="shared" si="38"/>
        <v>0.52100000000000035</v>
      </c>
      <c r="R558" s="276">
        <f t="shared" si="37"/>
        <v>0.625</v>
      </c>
    </row>
    <row r="559" spans="15:18">
      <c r="O559" s="340"/>
      <c r="Q559" s="275">
        <f t="shared" si="38"/>
        <v>0.52200000000000035</v>
      </c>
      <c r="R559" s="276">
        <f t="shared" si="37"/>
        <v>0.625</v>
      </c>
    </row>
    <row r="560" spans="15:18">
      <c r="O560" s="340"/>
      <c r="Q560" s="275">
        <f t="shared" si="38"/>
        <v>0.52300000000000035</v>
      </c>
      <c r="R560" s="276">
        <f t="shared" si="37"/>
        <v>0.625</v>
      </c>
    </row>
    <row r="561" spans="15:18">
      <c r="O561" s="340"/>
      <c r="Q561" s="275">
        <f t="shared" si="38"/>
        <v>0.52400000000000035</v>
      </c>
      <c r="R561" s="276">
        <f t="shared" si="37"/>
        <v>0.625</v>
      </c>
    </row>
    <row r="562" spans="15:18">
      <c r="O562" s="340"/>
      <c r="Q562" s="275">
        <f t="shared" si="38"/>
        <v>0.52500000000000036</v>
      </c>
      <c r="R562" s="276">
        <f t="shared" si="37"/>
        <v>0.625</v>
      </c>
    </row>
    <row r="563" spans="15:18">
      <c r="O563" s="340"/>
      <c r="Q563" s="275">
        <f t="shared" si="38"/>
        <v>0.52600000000000036</v>
      </c>
      <c r="R563" s="276">
        <f t="shared" si="37"/>
        <v>0.625</v>
      </c>
    </row>
    <row r="564" spans="15:18">
      <c r="O564" s="340"/>
      <c r="Q564" s="275">
        <f t="shared" si="38"/>
        <v>0.52700000000000036</v>
      </c>
      <c r="R564" s="276">
        <f t="shared" si="37"/>
        <v>0.625</v>
      </c>
    </row>
    <row r="565" spans="15:18">
      <c r="O565" s="340"/>
      <c r="Q565" s="275">
        <f t="shared" si="38"/>
        <v>0.52800000000000036</v>
      </c>
      <c r="R565" s="276">
        <f t="shared" si="37"/>
        <v>0.625</v>
      </c>
    </row>
    <row r="566" spans="15:18">
      <c r="O566" s="340"/>
      <c r="Q566" s="275">
        <f t="shared" si="38"/>
        <v>0.52900000000000036</v>
      </c>
      <c r="R566" s="276">
        <f t="shared" si="37"/>
        <v>0.625</v>
      </c>
    </row>
    <row r="567" spans="15:18">
      <c r="O567" s="340"/>
      <c r="Q567" s="275">
        <f t="shared" si="38"/>
        <v>0.53000000000000036</v>
      </c>
      <c r="R567" s="276">
        <f t="shared" si="37"/>
        <v>0.625</v>
      </c>
    </row>
    <row r="568" spans="15:18">
      <c r="O568" s="340"/>
      <c r="Q568" s="275">
        <f t="shared" si="38"/>
        <v>0.53100000000000036</v>
      </c>
      <c r="R568" s="276">
        <f t="shared" si="37"/>
        <v>0.625</v>
      </c>
    </row>
    <row r="569" spans="15:18">
      <c r="O569" s="340"/>
      <c r="Q569" s="275">
        <f t="shared" si="38"/>
        <v>0.53200000000000036</v>
      </c>
      <c r="R569" s="276">
        <f t="shared" si="37"/>
        <v>0.625</v>
      </c>
    </row>
    <row r="570" spans="15:18">
      <c r="O570" s="340"/>
      <c r="Q570" s="275">
        <f t="shared" si="38"/>
        <v>0.53300000000000036</v>
      </c>
      <c r="R570" s="276">
        <f t="shared" ref="R570:R601" si="39">5/8</f>
        <v>0.625</v>
      </c>
    </row>
    <row r="571" spans="15:18">
      <c r="O571" s="340"/>
      <c r="Q571" s="275">
        <f t="shared" si="38"/>
        <v>0.53400000000000036</v>
      </c>
      <c r="R571" s="276">
        <f t="shared" si="39"/>
        <v>0.625</v>
      </c>
    </row>
    <row r="572" spans="15:18">
      <c r="O572" s="340"/>
      <c r="Q572" s="275">
        <f t="shared" si="38"/>
        <v>0.53500000000000036</v>
      </c>
      <c r="R572" s="276">
        <f t="shared" si="39"/>
        <v>0.625</v>
      </c>
    </row>
    <row r="573" spans="15:18">
      <c r="O573" s="340"/>
      <c r="Q573" s="275">
        <f t="shared" si="38"/>
        <v>0.53600000000000037</v>
      </c>
      <c r="R573" s="276">
        <f t="shared" si="39"/>
        <v>0.625</v>
      </c>
    </row>
    <row r="574" spans="15:18">
      <c r="O574" s="340"/>
      <c r="Q574" s="275">
        <f t="shared" si="38"/>
        <v>0.53700000000000037</v>
      </c>
      <c r="R574" s="276">
        <f t="shared" si="39"/>
        <v>0.625</v>
      </c>
    </row>
    <row r="575" spans="15:18">
      <c r="O575" s="340"/>
      <c r="Q575" s="275">
        <f t="shared" si="38"/>
        <v>0.53800000000000037</v>
      </c>
      <c r="R575" s="276">
        <f t="shared" si="39"/>
        <v>0.625</v>
      </c>
    </row>
    <row r="576" spans="15:18">
      <c r="O576" s="340"/>
      <c r="Q576" s="275">
        <f t="shared" si="38"/>
        <v>0.53900000000000037</v>
      </c>
      <c r="R576" s="276">
        <f t="shared" si="39"/>
        <v>0.625</v>
      </c>
    </row>
    <row r="577" spans="15:18">
      <c r="O577" s="340"/>
      <c r="Q577" s="275">
        <f t="shared" si="38"/>
        <v>0.54000000000000037</v>
      </c>
      <c r="R577" s="276">
        <f t="shared" si="39"/>
        <v>0.625</v>
      </c>
    </row>
    <row r="578" spans="15:18">
      <c r="O578" s="340"/>
      <c r="Q578" s="275">
        <f t="shared" si="38"/>
        <v>0.54100000000000037</v>
      </c>
      <c r="R578" s="276">
        <f t="shared" si="39"/>
        <v>0.625</v>
      </c>
    </row>
    <row r="579" spans="15:18">
      <c r="O579" s="340"/>
      <c r="Q579" s="275">
        <f t="shared" si="38"/>
        <v>0.54200000000000037</v>
      </c>
      <c r="R579" s="276">
        <f t="shared" si="39"/>
        <v>0.625</v>
      </c>
    </row>
    <row r="580" spans="15:18">
      <c r="O580" s="340"/>
      <c r="Q580" s="275">
        <f t="shared" si="38"/>
        <v>0.54300000000000037</v>
      </c>
      <c r="R580" s="276">
        <f t="shared" si="39"/>
        <v>0.625</v>
      </c>
    </row>
    <row r="581" spans="15:18">
      <c r="O581" s="340"/>
      <c r="Q581" s="275">
        <f t="shared" si="38"/>
        <v>0.54400000000000037</v>
      </c>
      <c r="R581" s="276">
        <f t="shared" si="39"/>
        <v>0.625</v>
      </c>
    </row>
    <row r="582" spans="15:18">
      <c r="O582" s="340"/>
      <c r="Q582" s="275">
        <f t="shared" si="38"/>
        <v>0.54500000000000037</v>
      </c>
      <c r="R582" s="276">
        <f t="shared" si="39"/>
        <v>0.625</v>
      </c>
    </row>
    <row r="583" spans="15:18">
      <c r="O583" s="340"/>
      <c r="Q583" s="275">
        <f t="shared" si="38"/>
        <v>0.54600000000000037</v>
      </c>
      <c r="R583" s="276">
        <f t="shared" si="39"/>
        <v>0.625</v>
      </c>
    </row>
    <row r="584" spans="15:18">
      <c r="O584" s="340"/>
      <c r="Q584" s="275">
        <f t="shared" si="38"/>
        <v>0.54700000000000037</v>
      </c>
      <c r="R584" s="276">
        <f t="shared" si="39"/>
        <v>0.625</v>
      </c>
    </row>
    <row r="585" spans="15:18">
      <c r="O585" s="340"/>
      <c r="Q585" s="275">
        <f t="shared" si="38"/>
        <v>0.54800000000000038</v>
      </c>
      <c r="R585" s="276">
        <f t="shared" si="39"/>
        <v>0.625</v>
      </c>
    </row>
    <row r="586" spans="15:18">
      <c r="O586" s="340"/>
      <c r="Q586" s="275">
        <f t="shared" si="38"/>
        <v>0.54900000000000038</v>
      </c>
      <c r="R586" s="276">
        <f t="shared" si="39"/>
        <v>0.625</v>
      </c>
    </row>
    <row r="587" spans="15:18">
      <c r="O587" s="340"/>
      <c r="Q587" s="275">
        <f t="shared" si="38"/>
        <v>0.55000000000000038</v>
      </c>
      <c r="R587" s="276">
        <f t="shared" si="39"/>
        <v>0.625</v>
      </c>
    </row>
    <row r="588" spans="15:18">
      <c r="O588" s="340"/>
      <c r="Q588" s="275">
        <f t="shared" si="38"/>
        <v>0.55100000000000038</v>
      </c>
      <c r="R588" s="276">
        <f t="shared" si="39"/>
        <v>0.625</v>
      </c>
    </row>
    <row r="589" spans="15:18">
      <c r="O589" s="340"/>
      <c r="Q589" s="275">
        <f t="shared" si="38"/>
        <v>0.55200000000000038</v>
      </c>
      <c r="R589" s="276">
        <f t="shared" si="39"/>
        <v>0.625</v>
      </c>
    </row>
    <row r="590" spans="15:18">
      <c r="O590" s="340"/>
      <c r="Q590" s="275">
        <f t="shared" si="38"/>
        <v>0.55300000000000038</v>
      </c>
      <c r="R590" s="276">
        <f t="shared" si="39"/>
        <v>0.625</v>
      </c>
    </row>
    <row r="591" spans="15:18">
      <c r="O591" s="340"/>
      <c r="Q591" s="275">
        <f t="shared" si="38"/>
        <v>0.55400000000000038</v>
      </c>
      <c r="R591" s="276">
        <f t="shared" si="39"/>
        <v>0.625</v>
      </c>
    </row>
    <row r="592" spans="15:18">
      <c r="O592" s="340"/>
      <c r="Q592" s="275">
        <f t="shared" si="38"/>
        <v>0.55500000000000038</v>
      </c>
      <c r="R592" s="276">
        <f t="shared" si="39"/>
        <v>0.625</v>
      </c>
    </row>
    <row r="593" spans="15:18">
      <c r="O593" s="340"/>
      <c r="Q593" s="275">
        <f t="shared" si="38"/>
        <v>0.55600000000000038</v>
      </c>
      <c r="R593" s="276">
        <f t="shared" si="39"/>
        <v>0.625</v>
      </c>
    </row>
    <row r="594" spans="15:18">
      <c r="O594" s="340"/>
      <c r="Q594" s="275">
        <f t="shared" si="38"/>
        <v>0.55700000000000038</v>
      </c>
      <c r="R594" s="276">
        <f t="shared" si="39"/>
        <v>0.625</v>
      </c>
    </row>
    <row r="595" spans="15:18">
      <c r="O595" s="340"/>
      <c r="Q595" s="275">
        <f t="shared" si="38"/>
        <v>0.55800000000000038</v>
      </c>
      <c r="R595" s="276">
        <f t="shared" si="39"/>
        <v>0.625</v>
      </c>
    </row>
    <row r="596" spans="15:18">
      <c r="O596" s="340"/>
      <c r="Q596" s="275">
        <f t="shared" si="38"/>
        <v>0.55900000000000039</v>
      </c>
      <c r="R596" s="276">
        <f t="shared" si="39"/>
        <v>0.625</v>
      </c>
    </row>
    <row r="597" spans="15:18">
      <c r="O597" s="340"/>
      <c r="Q597" s="275">
        <f t="shared" si="38"/>
        <v>0.56000000000000039</v>
      </c>
      <c r="R597" s="276">
        <f t="shared" si="39"/>
        <v>0.625</v>
      </c>
    </row>
    <row r="598" spans="15:18">
      <c r="O598" s="340"/>
      <c r="Q598" s="275">
        <f t="shared" si="38"/>
        <v>0.56100000000000039</v>
      </c>
      <c r="R598" s="276">
        <f t="shared" si="39"/>
        <v>0.625</v>
      </c>
    </row>
    <row r="599" spans="15:18">
      <c r="O599" s="340"/>
      <c r="Q599" s="275">
        <f t="shared" si="38"/>
        <v>0.56200000000000039</v>
      </c>
      <c r="R599" s="276">
        <f t="shared" si="39"/>
        <v>0.625</v>
      </c>
    </row>
    <row r="600" spans="15:18">
      <c r="O600" s="340"/>
      <c r="Q600" s="275">
        <f t="shared" si="38"/>
        <v>0.56300000000000039</v>
      </c>
      <c r="R600" s="276">
        <f t="shared" si="39"/>
        <v>0.625</v>
      </c>
    </row>
    <row r="601" spans="15:18">
      <c r="O601" s="340"/>
      <c r="Q601" s="275">
        <f t="shared" si="38"/>
        <v>0.56400000000000039</v>
      </c>
      <c r="R601" s="276">
        <f t="shared" si="39"/>
        <v>0.625</v>
      </c>
    </row>
    <row r="602" spans="15:18">
      <c r="O602" s="340"/>
      <c r="Q602" s="275">
        <f t="shared" si="38"/>
        <v>0.56500000000000039</v>
      </c>
      <c r="R602" s="276">
        <f t="shared" ref="R602:R633" si="40">5/8</f>
        <v>0.625</v>
      </c>
    </row>
    <row r="603" spans="15:18">
      <c r="O603" s="340"/>
      <c r="Q603" s="275">
        <f t="shared" si="38"/>
        <v>0.56600000000000039</v>
      </c>
      <c r="R603" s="276">
        <f t="shared" si="40"/>
        <v>0.625</v>
      </c>
    </row>
    <row r="604" spans="15:18">
      <c r="O604" s="340"/>
      <c r="Q604" s="275">
        <f t="shared" si="38"/>
        <v>0.56700000000000039</v>
      </c>
      <c r="R604" s="276">
        <f t="shared" si="40"/>
        <v>0.625</v>
      </c>
    </row>
    <row r="605" spans="15:18">
      <c r="O605" s="340"/>
      <c r="Q605" s="275">
        <f t="shared" si="38"/>
        <v>0.56800000000000039</v>
      </c>
      <c r="R605" s="276">
        <f t="shared" si="40"/>
        <v>0.625</v>
      </c>
    </row>
    <row r="606" spans="15:18">
      <c r="O606" s="340"/>
      <c r="Q606" s="275">
        <f t="shared" si="38"/>
        <v>0.56900000000000039</v>
      </c>
      <c r="R606" s="276">
        <f t="shared" si="40"/>
        <v>0.625</v>
      </c>
    </row>
    <row r="607" spans="15:18">
      <c r="O607" s="340"/>
      <c r="Q607" s="275">
        <f t="shared" si="38"/>
        <v>0.5700000000000004</v>
      </c>
      <c r="R607" s="276">
        <f t="shared" si="40"/>
        <v>0.625</v>
      </c>
    </row>
    <row r="608" spans="15:18">
      <c r="O608" s="340"/>
      <c r="Q608" s="275">
        <f t="shared" si="38"/>
        <v>0.5710000000000004</v>
      </c>
      <c r="R608" s="276">
        <f t="shared" si="40"/>
        <v>0.625</v>
      </c>
    </row>
    <row r="609" spans="15:18">
      <c r="O609" s="340"/>
      <c r="Q609" s="275">
        <f t="shared" si="38"/>
        <v>0.5720000000000004</v>
      </c>
      <c r="R609" s="276">
        <f t="shared" si="40"/>
        <v>0.625</v>
      </c>
    </row>
    <row r="610" spans="15:18">
      <c r="O610" s="340"/>
      <c r="Q610" s="275">
        <f t="shared" si="38"/>
        <v>0.5730000000000004</v>
      </c>
      <c r="R610" s="276">
        <f t="shared" si="40"/>
        <v>0.625</v>
      </c>
    </row>
    <row r="611" spans="15:18">
      <c r="O611" s="340"/>
      <c r="Q611" s="275">
        <f t="shared" si="38"/>
        <v>0.5740000000000004</v>
      </c>
      <c r="R611" s="276">
        <f t="shared" si="40"/>
        <v>0.625</v>
      </c>
    </row>
    <row r="612" spans="15:18">
      <c r="O612" s="340"/>
      <c r="Q612" s="275">
        <f t="shared" si="38"/>
        <v>0.5750000000000004</v>
      </c>
      <c r="R612" s="276">
        <f t="shared" si="40"/>
        <v>0.625</v>
      </c>
    </row>
    <row r="613" spans="15:18">
      <c r="O613" s="340"/>
      <c r="Q613" s="275">
        <f t="shared" si="38"/>
        <v>0.5760000000000004</v>
      </c>
      <c r="R613" s="276">
        <f t="shared" si="40"/>
        <v>0.625</v>
      </c>
    </row>
    <row r="614" spans="15:18">
      <c r="O614" s="340"/>
      <c r="Q614" s="275">
        <f t="shared" si="38"/>
        <v>0.5770000000000004</v>
      </c>
      <c r="R614" s="276">
        <f t="shared" si="40"/>
        <v>0.625</v>
      </c>
    </row>
    <row r="615" spans="15:18">
      <c r="O615" s="340"/>
      <c r="Q615" s="275">
        <f t="shared" ref="Q615:Q678" si="41">Q614+0.001</f>
        <v>0.5780000000000004</v>
      </c>
      <c r="R615" s="276">
        <f t="shared" si="40"/>
        <v>0.625</v>
      </c>
    </row>
    <row r="616" spans="15:18">
      <c r="O616" s="340"/>
      <c r="Q616" s="275">
        <f t="shared" si="41"/>
        <v>0.5790000000000004</v>
      </c>
      <c r="R616" s="276">
        <f t="shared" si="40"/>
        <v>0.625</v>
      </c>
    </row>
    <row r="617" spans="15:18">
      <c r="O617" s="340"/>
      <c r="Q617" s="275">
        <f t="shared" si="41"/>
        <v>0.5800000000000004</v>
      </c>
      <c r="R617" s="276">
        <f t="shared" si="40"/>
        <v>0.625</v>
      </c>
    </row>
    <row r="618" spans="15:18">
      <c r="O618" s="340"/>
      <c r="Q618" s="275">
        <f t="shared" si="41"/>
        <v>0.58100000000000041</v>
      </c>
      <c r="R618" s="276">
        <f t="shared" si="40"/>
        <v>0.625</v>
      </c>
    </row>
    <row r="619" spans="15:18">
      <c r="O619" s="340"/>
      <c r="Q619" s="275">
        <f t="shared" si="41"/>
        <v>0.58200000000000041</v>
      </c>
      <c r="R619" s="276">
        <f t="shared" si="40"/>
        <v>0.625</v>
      </c>
    </row>
    <row r="620" spans="15:18">
      <c r="O620" s="340"/>
      <c r="Q620" s="275">
        <f t="shared" si="41"/>
        <v>0.58300000000000041</v>
      </c>
      <c r="R620" s="276">
        <f t="shared" si="40"/>
        <v>0.625</v>
      </c>
    </row>
    <row r="621" spans="15:18">
      <c r="O621" s="340"/>
      <c r="Q621" s="275">
        <f t="shared" si="41"/>
        <v>0.58400000000000041</v>
      </c>
      <c r="R621" s="276">
        <f t="shared" si="40"/>
        <v>0.625</v>
      </c>
    </row>
    <row r="622" spans="15:18">
      <c r="O622" s="340"/>
      <c r="Q622" s="275">
        <f t="shared" si="41"/>
        <v>0.58500000000000041</v>
      </c>
      <c r="R622" s="276">
        <f t="shared" si="40"/>
        <v>0.625</v>
      </c>
    </row>
    <row r="623" spans="15:18">
      <c r="O623" s="340"/>
      <c r="Q623" s="275">
        <f t="shared" si="41"/>
        <v>0.58600000000000041</v>
      </c>
      <c r="R623" s="276">
        <f t="shared" si="40"/>
        <v>0.625</v>
      </c>
    </row>
    <row r="624" spans="15:18">
      <c r="O624" s="340"/>
      <c r="Q624" s="275">
        <f t="shared" si="41"/>
        <v>0.58700000000000041</v>
      </c>
      <c r="R624" s="276">
        <f t="shared" si="40"/>
        <v>0.625</v>
      </c>
    </row>
    <row r="625" spans="15:18">
      <c r="O625" s="340"/>
      <c r="Q625" s="275">
        <f t="shared" si="41"/>
        <v>0.58800000000000041</v>
      </c>
      <c r="R625" s="276">
        <f t="shared" si="40"/>
        <v>0.625</v>
      </c>
    </row>
    <row r="626" spans="15:18">
      <c r="O626" s="340"/>
      <c r="Q626" s="275">
        <f t="shared" si="41"/>
        <v>0.58900000000000041</v>
      </c>
      <c r="R626" s="276">
        <f t="shared" si="40"/>
        <v>0.625</v>
      </c>
    </row>
    <row r="627" spans="15:18">
      <c r="O627" s="340"/>
      <c r="Q627" s="275">
        <f t="shared" si="41"/>
        <v>0.59000000000000041</v>
      </c>
      <c r="R627" s="276">
        <f t="shared" si="40"/>
        <v>0.625</v>
      </c>
    </row>
    <row r="628" spans="15:18">
      <c r="O628" s="340"/>
      <c r="Q628" s="275">
        <f t="shared" si="41"/>
        <v>0.59100000000000041</v>
      </c>
      <c r="R628" s="276">
        <f t="shared" si="40"/>
        <v>0.625</v>
      </c>
    </row>
    <row r="629" spans="15:18">
      <c r="O629" s="340"/>
      <c r="Q629" s="275">
        <f t="shared" si="41"/>
        <v>0.59200000000000041</v>
      </c>
      <c r="R629" s="276">
        <f t="shared" si="40"/>
        <v>0.625</v>
      </c>
    </row>
    <row r="630" spans="15:18">
      <c r="O630" s="340"/>
      <c r="Q630" s="275">
        <f t="shared" si="41"/>
        <v>0.59300000000000042</v>
      </c>
      <c r="R630" s="276">
        <f t="shared" si="40"/>
        <v>0.625</v>
      </c>
    </row>
    <row r="631" spans="15:18">
      <c r="O631" s="340"/>
      <c r="Q631" s="275">
        <f t="shared" si="41"/>
        <v>0.59400000000000042</v>
      </c>
      <c r="R631" s="276">
        <f t="shared" si="40"/>
        <v>0.625</v>
      </c>
    </row>
    <row r="632" spans="15:18">
      <c r="O632" s="340"/>
      <c r="Q632" s="275">
        <f t="shared" si="41"/>
        <v>0.59500000000000042</v>
      </c>
      <c r="R632" s="276">
        <f t="shared" si="40"/>
        <v>0.625</v>
      </c>
    </row>
    <row r="633" spans="15:18">
      <c r="O633" s="340"/>
      <c r="Q633" s="275">
        <f t="shared" si="41"/>
        <v>0.59600000000000042</v>
      </c>
      <c r="R633" s="276">
        <f t="shared" si="40"/>
        <v>0.625</v>
      </c>
    </row>
    <row r="634" spans="15:18">
      <c r="O634" s="340"/>
      <c r="Q634" s="275">
        <f t="shared" si="41"/>
        <v>0.59700000000000042</v>
      </c>
      <c r="R634" s="276">
        <f t="shared" ref="R634:R662" si="42">5/8</f>
        <v>0.625</v>
      </c>
    </row>
    <row r="635" spans="15:18">
      <c r="O635" s="340"/>
      <c r="Q635" s="275">
        <f t="shared" si="41"/>
        <v>0.59800000000000042</v>
      </c>
      <c r="R635" s="276">
        <f t="shared" si="42"/>
        <v>0.625</v>
      </c>
    </row>
    <row r="636" spans="15:18">
      <c r="O636" s="340"/>
      <c r="Q636" s="275">
        <f t="shared" si="41"/>
        <v>0.59900000000000042</v>
      </c>
      <c r="R636" s="276">
        <f t="shared" si="42"/>
        <v>0.625</v>
      </c>
    </row>
    <row r="637" spans="15:18">
      <c r="O637" s="340"/>
      <c r="Q637" s="275">
        <f t="shared" si="41"/>
        <v>0.60000000000000042</v>
      </c>
      <c r="R637" s="276">
        <f t="shared" si="42"/>
        <v>0.625</v>
      </c>
    </row>
    <row r="638" spans="15:18">
      <c r="O638" s="340"/>
      <c r="Q638" s="275">
        <f t="shared" si="41"/>
        <v>0.60100000000000042</v>
      </c>
      <c r="R638" s="276">
        <f t="shared" si="42"/>
        <v>0.625</v>
      </c>
    </row>
    <row r="639" spans="15:18">
      <c r="O639" s="340"/>
      <c r="Q639" s="275">
        <f t="shared" si="41"/>
        <v>0.60200000000000042</v>
      </c>
      <c r="R639" s="276">
        <f t="shared" si="42"/>
        <v>0.625</v>
      </c>
    </row>
    <row r="640" spans="15:18">
      <c r="O640" s="340"/>
      <c r="Q640" s="275">
        <f t="shared" si="41"/>
        <v>0.60300000000000042</v>
      </c>
      <c r="R640" s="276">
        <f t="shared" si="42"/>
        <v>0.625</v>
      </c>
    </row>
    <row r="641" spans="15:18">
      <c r="O641" s="340"/>
      <c r="Q641" s="275">
        <f t="shared" si="41"/>
        <v>0.60400000000000043</v>
      </c>
      <c r="R641" s="276">
        <f t="shared" si="42"/>
        <v>0.625</v>
      </c>
    </row>
    <row r="642" spans="15:18">
      <c r="O642" s="340"/>
      <c r="Q642" s="275">
        <f t="shared" si="41"/>
        <v>0.60500000000000043</v>
      </c>
      <c r="R642" s="276">
        <f t="shared" si="42"/>
        <v>0.625</v>
      </c>
    </row>
    <row r="643" spans="15:18">
      <c r="O643" s="340"/>
      <c r="Q643" s="275">
        <f t="shared" si="41"/>
        <v>0.60600000000000043</v>
      </c>
      <c r="R643" s="276">
        <f t="shared" si="42"/>
        <v>0.625</v>
      </c>
    </row>
    <row r="644" spans="15:18">
      <c r="O644" s="340"/>
      <c r="Q644" s="275">
        <f t="shared" si="41"/>
        <v>0.60700000000000043</v>
      </c>
      <c r="R644" s="276">
        <f t="shared" si="42"/>
        <v>0.625</v>
      </c>
    </row>
    <row r="645" spans="15:18">
      <c r="O645" s="340"/>
      <c r="Q645" s="275">
        <f t="shared" si="41"/>
        <v>0.60800000000000043</v>
      </c>
      <c r="R645" s="276">
        <f t="shared" si="42"/>
        <v>0.625</v>
      </c>
    </row>
    <row r="646" spans="15:18">
      <c r="O646" s="340"/>
      <c r="Q646" s="275">
        <f t="shared" si="41"/>
        <v>0.60900000000000043</v>
      </c>
      <c r="R646" s="276">
        <f t="shared" si="42"/>
        <v>0.625</v>
      </c>
    </row>
    <row r="647" spans="15:18">
      <c r="O647" s="340"/>
      <c r="Q647" s="275">
        <f t="shared" si="41"/>
        <v>0.61000000000000043</v>
      </c>
      <c r="R647" s="276">
        <f t="shared" si="42"/>
        <v>0.625</v>
      </c>
    </row>
    <row r="648" spans="15:18">
      <c r="O648" s="340"/>
      <c r="Q648" s="275">
        <f t="shared" si="41"/>
        <v>0.61100000000000043</v>
      </c>
      <c r="R648" s="276">
        <f t="shared" si="42"/>
        <v>0.625</v>
      </c>
    </row>
    <row r="649" spans="15:18">
      <c r="O649" s="340"/>
      <c r="Q649" s="275">
        <f t="shared" si="41"/>
        <v>0.61200000000000043</v>
      </c>
      <c r="R649" s="276">
        <f t="shared" si="42"/>
        <v>0.625</v>
      </c>
    </row>
    <row r="650" spans="15:18">
      <c r="O650" s="340"/>
      <c r="Q650" s="275">
        <f t="shared" si="41"/>
        <v>0.61300000000000043</v>
      </c>
      <c r="R650" s="276">
        <f t="shared" si="42"/>
        <v>0.625</v>
      </c>
    </row>
    <row r="651" spans="15:18">
      <c r="O651" s="340"/>
      <c r="Q651" s="275">
        <f t="shared" si="41"/>
        <v>0.61400000000000043</v>
      </c>
      <c r="R651" s="276">
        <f t="shared" si="42"/>
        <v>0.625</v>
      </c>
    </row>
    <row r="652" spans="15:18">
      <c r="O652" s="340"/>
      <c r="Q652" s="275">
        <f t="shared" si="41"/>
        <v>0.61500000000000044</v>
      </c>
      <c r="R652" s="276">
        <f t="shared" si="42"/>
        <v>0.625</v>
      </c>
    </row>
    <row r="653" spans="15:18">
      <c r="O653" s="340"/>
      <c r="Q653" s="275">
        <f t="shared" si="41"/>
        <v>0.61600000000000044</v>
      </c>
      <c r="R653" s="276">
        <f t="shared" si="42"/>
        <v>0.625</v>
      </c>
    </row>
    <row r="654" spans="15:18">
      <c r="O654" s="340"/>
      <c r="Q654" s="275">
        <f t="shared" si="41"/>
        <v>0.61700000000000044</v>
      </c>
      <c r="R654" s="276">
        <f t="shared" si="42"/>
        <v>0.625</v>
      </c>
    </row>
    <row r="655" spans="15:18">
      <c r="O655" s="340"/>
      <c r="Q655" s="275">
        <f t="shared" si="41"/>
        <v>0.61800000000000044</v>
      </c>
      <c r="R655" s="276">
        <f t="shared" si="42"/>
        <v>0.625</v>
      </c>
    </row>
    <row r="656" spans="15:18">
      <c r="O656" s="340"/>
      <c r="Q656" s="275">
        <f t="shared" si="41"/>
        <v>0.61900000000000044</v>
      </c>
      <c r="R656" s="276">
        <f t="shared" si="42"/>
        <v>0.625</v>
      </c>
    </row>
    <row r="657" spans="15:18">
      <c r="O657" s="340"/>
      <c r="Q657" s="275">
        <f t="shared" si="41"/>
        <v>0.62000000000000044</v>
      </c>
      <c r="R657" s="276">
        <f t="shared" si="42"/>
        <v>0.625</v>
      </c>
    </row>
    <row r="658" spans="15:18">
      <c r="O658" s="340"/>
      <c r="Q658" s="275">
        <f t="shared" si="41"/>
        <v>0.62100000000000044</v>
      </c>
      <c r="R658" s="276">
        <f t="shared" si="42"/>
        <v>0.625</v>
      </c>
    </row>
    <row r="659" spans="15:18">
      <c r="O659" s="340"/>
      <c r="Q659" s="275">
        <f t="shared" si="41"/>
        <v>0.62200000000000044</v>
      </c>
      <c r="R659" s="276">
        <f t="shared" si="42"/>
        <v>0.625</v>
      </c>
    </row>
    <row r="660" spans="15:18">
      <c r="O660" s="340"/>
      <c r="Q660" s="275">
        <f t="shared" si="41"/>
        <v>0.62300000000000044</v>
      </c>
      <c r="R660" s="276">
        <f t="shared" si="42"/>
        <v>0.625</v>
      </c>
    </row>
    <row r="661" spans="15:18">
      <c r="O661" s="340"/>
      <c r="Q661" s="275">
        <f t="shared" si="41"/>
        <v>0.62400000000000044</v>
      </c>
      <c r="R661" s="276">
        <f t="shared" si="42"/>
        <v>0.625</v>
      </c>
    </row>
    <row r="662" spans="15:18">
      <c r="O662" s="340"/>
      <c r="Q662" s="275">
        <f t="shared" si="41"/>
        <v>0.62500000000000044</v>
      </c>
      <c r="R662" s="276">
        <f t="shared" si="42"/>
        <v>0.625</v>
      </c>
    </row>
    <row r="663" spans="15:18">
      <c r="O663" s="340"/>
      <c r="Q663" s="275">
        <f t="shared" si="41"/>
        <v>0.62600000000000044</v>
      </c>
      <c r="R663" s="276">
        <f t="shared" ref="R663:R694" si="43">3/4</f>
        <v>0.75</v>
      </c>
    </row>
    <row r="664" spans="15:18">
      <c r="O664" s="340"/>
      <c r="Q664" s="275">
        <f t="shared" si="41"/>
        <v>0.62700000000000045</v>
      </c>
      <c r="R664" s="276">
        <f t="shared" si="43"/>
        <v>0.75</v>
      </c>
    </row>
    <row r="665" spans="15:18">
      <c r="O665" s="340"/>
      <c r="Q665" s="275">
        <f t="shared" si="41"/>
        <v>0.62800000000000045</v>
      </c>
      <c r="R665" s="276">
        <f t="shared" si="43"/>
        <v>0.75</v>
      </c>
    </row>
    <row r="666" spans="15:18">
      <c r="O666" s="340"/>
      <c r="Q666" s="275">
        <f t="shared" si="41"/>
        <v>0.62900000000000045</v>
      </c>
      <c r="R666" s="276">
        <f t="shared" si="43"/>
        <v>0.75</v>
      </c>
    </row>
    <row r="667" spans="15:18">
      <c r="O667" s="340"/>
      <c r="Q667" s="275">
        <f t="shared" si="41"/>
        <v>0.63000000000000045</v>
      </c>
      <c r="R667" s="276">
        <f t="shared" si="43"/>
        <v>0.75</v>
      </c>
    </row>
    <row r="668" spans="15:18">
      <c r="O668" s="340"/>
      <c r="Q668" s="275">
        <f t="shared" si="41"/>
        <v>0.63100000000000045</v>
      </c>
      <c r="R668" s="276">
        <f t="shared" si="43"/>
        <v>0.75</v>
      </c>
    </row>
    <row r="669" spans="15:18">
      <c r="O669" s="340"/>
      <c r="Q669" s="275">
        <f t="shared" si="41"/>
        <v>0.63200000000000045</v>
      </c>
      <c r="R669" s="276">
        <f t="shared" si="43"/>
        <v>0.75</v>
      </c>
    </row>
    <row r="670" spans="15:18">
      <c r="O670" s="340"/>
      <c r="Q670" s="275">
        <f t="shared" si="41"/>
        <v>0.63300000000000045</v>
      </c>
      <c r="R670" s="276">
        <f t="shared" si="43"/>
        <v>0.75</v>
      </c>
    </row>
    <row r="671" spans="15:18">
      <c r="O671" s="340"/>
      <c r="Q671" s="275">
        <f t="shared" si="41"/>
        <v>0.63400000000000045</v>
      </c>
      <c r="R671" s="276">
        <f t="shared" si="43"/>
        <v>0.75</v>
      </c>
    </row>
    <row r="672" spans="15:18">
      <c r="O672" s="340"/>
      <c r="Q672" s="275">
        <f t="shared" si="41"/>
        <v>0.63500000000000045</v>
      </c>
      <c r="R672" s="276">
        <f t="shared" si="43"/>
        <v>0.75</v>
      </c>
    </row>
    <row r="673" spans="15:18">
      <c r="O673" s="340"/>
      <c r="Q673" s="275">
        <f t="shared" si="41"/>
        <v>0.63600000000000045</v>
      </c>
      <c r="R673" s="276">
        <f t="shared" si="43"/>
        <v>0.75</v>
      </c>
    </row>
    <row r="674" spans="15:18">
      <c r="O674" s="340"/>
      <c r="Q674" s="275">
        <f t="shared" si="41"/>
        <v>0.63700000000000045</v>
      </c>
      <c r="R674" s="276">
        <f t="shared" si="43"/>
        <v>0.75</v>
      </c>
    </row>
    <row r="675" spans="15:18">
      <c r="O675" s="340"/>
      <c r="Q675" s="275">
        <f t="shared" si="41"/>
        <v>0.63800000000000046</v>
      </c>
      <c r="R675" s="276">
        <f t="shared" si="43"/>
        <v>0.75</v>
      </c>
    </row>
    <row r="676" spans="15:18">
      <c r="O676" s="340"/>
      <c r="Q676" s="275">
        <f t="shared" si="41"/>
        <v>0.63900000000000046</v>
      </c>
      <c r="R676" s="276">
        <f t="shared" si="43"/>
        <v>0.75</v>
      </c>
    </row>
    <row r="677" spans="15:18">
      <c r="O677" s="340"/>
      <c r="Q677" s="275">
        <f t="shared" si="41"/>
        <v>0.64000000000000046</v>
      </c>
      <c r="R677" s="276">
        <f t="shared" si="43"/>
        <v>0.75</v>
      </c>
    </row>
    <row r="678" spans="15:18">
      <c r="O678" s="340"/>
      <c r="Q678" s="275">
        <f t="shared" si="41"/>
        <v>0.64100000000000046</v>
      </c>
      <c r="R678" s="276">
        <f t="shared" si="43"/>
        <v>0.75</v>
      </c>
    </row>
    <row r="679" spans="15:18">
      <c r="O679" s="340"/>
      <c r="Q679" s="275">
        <f t="shared" ref="Q679:Q742" si="44">Q678+0.001</f>
        <v>0.64200000000000046</v>
      </c>
      <c r="R679" s="276">
        <f t="shared" si="43"/>
        <v>0.75</v>
      </c>
    </row>
    <row r="680" spans="15:18">
      <c r="O680" s="340"/>
      <c r="Q680" s="275">
        <f t="shared" si="44"/>
        <v>0.64300000000000046</v>
      </c>
      <c r="R680" s="276">
        <f t="shared" si="43"/>
        <v>0.75</v>
      </c>
    </row>
    <row r="681" spans="15:18">
      <c r="O681" s="340"/>
      <c r="Q681" s="275">
        <f t="shared" si="44"/>
        <v>0.64400000000000046</v>
      </c>
      <c r="R681" s="276">
        <f t="shared" si="43"/>
        <v>0.75</v>
      </c>
    </row>
    <row r="682" spans="15:18">
      <c r="O682" s="340"/>
      <c r="Q682" s="275">
        <f t="shared" si="44"/>
        <v>0.64500000000000046</v>
      </c>
      <c r="R682" s="276">
        <f t="shared" si="43"/>
        <v>0.75</v>
      </c>
    </row>
    <row r="683" spans="15:18">
      <c r="O683" s="340"/>
      <c r="Q683" s="275">
        <f t="shared" si="44"/>
        <v>0.64600000000000046</v>
      </c>
      <c r="R683" s="276">
        <f t="shared" si="43"/>
        <v>0.75</v>
      </c>
    </row>
    <row r="684" spans="15:18">
      <c r="O684" s="340"/>
      <c r="Q684" s="275">
        <f t="shared" si="44"/>
        <v>0.64700000000000046</v>
      </c>
      <c r="R684" s="276">
        <f t="shared" si="43"/>
        <v>0.75</v>
      </c>
    </row>
    <row r="685" spans="15:18">
      <c r="O685" s="340"/>
      <c r="Q685" s="275">
        <f t="shared" si="44"/>
        <v>0.64800000000000046</v>
      </c>
      <c r="R685" s="276">
        <f t="shared" si="43"/>
        <v>0.75</v>
      </c>
    </row>
    <row r="686" spans="15:18">
      <c r="O686" s="340"/>
      <c r="Q686" s="275">
        <f t="shared" si="44"/>
        <v>0.64900000000000047</v>
      </c>
      <c r="R686" s="276">
        <f t="shared" si="43"/>
        <v>0.75</v>
      </c>
    </row>
    <row r="687" spans="15:18">
      <c r="O687" s="340"/>
      <c r="Q687" s="275">
        <f t="shared" si="44"/>
        <v>0.65000000000000047</v>
      </c>
      <c r="R687" s="276">
        <f t="shared" si="43"/>
        <v>0.75</v>
      </c>
    </row>
    <row r="688" spans="15:18">
      <c r="O688" s="340"/>
      <c r="Q688" s="275">
        <f t="shared" si="44"/>
        <v>0.65100000000000047</v>
      </c>
      <c r="R688" s="276">
        <f t="shared" si="43"/>
        <v>0.75</v>
      </c>
    </row>
    <row r="689" spans="15:18">
      <c r="O689" s="340"/>
      <c r="Q689" s="275">
        <f t="shared" si="44"/>
        <v>0.65200000000000047</v>
      </c>
      <c r="R689" s="276">
        <f t="shared" si="43"/>
        <v>0.75</v>
      </c>
    </row>
    <row r="690" spans="15:18">
      <c r="O690" s="340"/>
      <c r="Q690" s="275">
        <f t="shared" si="44"/>
        <v>0.65300000000000047</v>
      </c>
      <c r="R690" s="276">
        <f t="shared" si="43"/>
        <v>0.75</v>
      </c>
    </row>
    <row r="691" spans="15:18">
      <c r="O691" s="340"/>
      <c r="Q691" s="275">
        <f t="shared" si="44"/>
        <v>0.65400000000000047</v>
      </c>
      <c r="R691" s="276">
        <f t="shared" si="43"/>
        <v>0.75</v>
      </c>
    </row>
    <row r="692" spans="15:18">
      <c r="O692" s="340"/>
      <c r="Q692" s="275">
        <f t="shared" si="44"/>
        <v>0.65500000000000047</v>
      </c>
      <c r="R692" s="276">
        <f t="shared" si="43"/>
        <v>0.75</v>
      </c>
    </row>
    <row r="693" spans="15:18">
      <c r="O693" s="340"/>
      <c r="Q693" s="275">
        <f t="shared" si="44"/>
        <v>0.65600000000000047</v>
      </c>
      <c r="R693" s="276">
        <f t="shared" si="43"/>
        <v>0.75</v>
      </c>
    </row>
    <row r="694" spans="15:18">
      <c r="O694" s="340"/>
      <c r="Q694" s="275">
        <f t="shared" si="44"/>
        <v>0.65700000000000047</v>
      </c>
      <c r="R694" s="276">
        <f t="shared" si="43"/>
        <v>0.75</v>
      </c>
    </row>
    <row r="695" spans="15:18">
      <c r="O695" s="340"/>
      <c r="Q695" s="275">
        <f t="shared" si="44"/>
        <v>0.65800000000000047</v>
      </c>
      <c r="R695" s="276">
        <f t="shared" ref="R695:R726" si="45">3/4</f>
        <v>0.75</v>
      </c>
    </row>
    <row r="696" spans="15:18">
      <c r="O696" s="340"/>
      <c r="Q696" s="275">
        <f t="shared" si="44"/>
        <v>0.65900000000000047</v>
      </c>
      <c r="R696" s="276">
        <f t="shared" si="45"/>
        <v>0.75</v>
      </c>
    </row>
    <row r="697" spans="15:18">
      <c r="O697" s="340"/>
      <c r="Q697" s="275">
        <f t="shared" si="44"/>
        <v>0.66000000000000048</v>
      </c>
      <c r="R697" s="276">
        <f t="shared" si="45"/>
        <v>0.75</v>
      </c>
    </row>
    <row r="698" spans="15:18">
      <c r="O698" s="340"/>
      <c r="Q698" s="275">
        <f t="shared" si="44"/>
        <v>0.66100000000000048</v>
      </c>
      <c r="R698" s="276">
        <f t="shared" si="45"/>
        <v>0.75</v>
      </c>
    </row>
    <row r="699" spans="15:18">
      <c r="O699" s="340"/>
      <c r="Q699" s="275">
        <f t="shared" si="44"/>
        <v>0.66200000000000048</v>
      </c>
      <c r="R699" s="276">
        <f t="shared" si="45"/>
        <v>0.75</v>
      </c>
    </row>
    <row r="700" spans="15:18">
      <c r="O700" s="340"/>
      <c r="Q700" s="275">
        <f t="shared" si="44"/>
        <v>0.66300000000000048</v>
      </c>
      <c r="R700" s="276">
        <f t="shared" si="45"/>
        <v>0.75</v>
      </c>
    </row>
    <row r="701" spans="15:18">
      <c r="O701" s="340"/>
      <c r="Q701" s="275">
        <f t="shared" si="44"/>
        <v>0.66400000000000048</v>
      </c>
      <c r="R701" s="276">
        <f t="shared" si="45"/>
        <v>0.75</v>
      </c>
    </row>
    <row r="702" spans="15:18">
      <c r="O702" s="340"/>
      <c r="Q702" s="275">
        <f t="shared" si="44"/>
        <v>0.66500000000000048</v>
      </c>
      <c r="R702" s="276">
        <f t="shared" si="45"/>
        <v>0.75</v>
      </c>
    </row>
    <row r="703" spans="15:18">
      <c r="O703" s="340"/>
      <c r="Q703" s="275">
        <f t="shared" si="44"/>
        <v>0.66600000000000048</v>
      </c>
      <c r="R703" s="276">
        <f t="shared" si="45"/>
        <v>0.75</v>
      </c>
    </row>
    <row r="704" spans="15:18">
      <c r="O704" s="340"/>
      <c r="Q704" s="275">
        <f t="shared" si="44"/>
        <v>0.66700000000000048</v>
      </c>
      <c r="R704" s="276">
        <f t="shared" si="45"/>
        <v>0.75</v>
      </c>
    </row>
    <row r="705" spans="15:18">
      <c r="O705" s="340"/>
      <c r="Q705" s="275">
        <f t="shared" si="44"/>
        <v>0.66800000000000048</v>
      </c>
      <c r="R705" s="276">
        <f t="shared" si="45"/>
        <v>0.75</v>
      </c>
    </row>
    <row r="706" spans="15:18">
      <c r="O706" s="340"/>
      <c r="Q706" s="275">
        <f t="shared" si="44"/>
        <v>0.66900000000000048</v>
      </c>
      <c r="R706" s="276">
        <f t="shared" si="45"/>
        <v>0.75</v>
      </c>
    </row>
    <row r="707" spans="15:18">
      <c r="O707" s="340"/>
      <c r="Q707" s="275">
        <f t="shared" si="44"/>
        <v>0.67000000000000048</v>
      </c>
      <c r="R707" s="276">
        <f t="shared" si="45"/>
        <v>0.75</v>
      </c>
    </row>
    <row r="708" spans="15:18">
      <c r="O708" s="340"/>
      <c r="Q708" s="275">
        <f t="shared" si="44"/>
        <v>0.67100000000000048</v>
      </c>
      <c r="R708" s="276">
        <f t="shared" si="45"/>
        <v>0.75</v>
      </c>
    </row>
    <row r="709" spans="15:18">
      <c r="O709" s="340"/>
      <c r="Q709" s="275">
        <f t="shared" si="44"/>
        <v>0.67200000000000049</v>
      </c>
      <c r="R709" s="276">
        <f t="shared" si="45"/>
        <v>0.75</v>
      </c>
    </row>
    <row r="710" spans="15:18">
      <c r="O710" s="340"/>
      <c r="Q710" s="275">
        <f t="shared" si="44"/>
        <v>0.67300000000000049</v>
      </c>
      <c r="R710" s="276">
        <f t="shared" si="45"/>
        <v>0.75</v>
      </c>
    </row>
    <row r="711" spans="15:18">
      <c r="O711" s="340"/>
      <c r="Q711" s="275">
        <f t="shared" si="44"/>
        <v>0.67400000000000049</v>
      </c>
      <c r="R711" s="276">
        <f t="shared" si="45"/>
        <v>0.75</v>
      </c>
    </row>
    <row r="712" spans="15:18">
      <c r="O712" s="340"/>
      <c r="Q712" s="275">
        <f t="shared" si="44"/>
        <v>0.67500000000000049</v>
      </c>
      <c r="R712" s="276">
        <f t="shared" si="45"/>
        <v>0.75</v>
      </c>
    </row>
    <row r="713" spans="15:18">
      <c r="O713" s="340"/>
      <c r="Q713" s="275">
        <f t="shared" si="44"/>
        <v>0.67600000000000049</v>
      </c>
      <c r="R713" s="276">
        <f t="shared" si="45"/>
        <v>0.75</v>
      </c>
    </row>
    <row r="714" spans="15:18">
      <c r="O714" s="340"/>
      <c r="Q714" s="275">
        <f t="shared" si="44"/>
        <v>0.67700000000000049</v>
      </c>
      <c r="R714" s="276">
        <f t="shared" si="45"/>
        <v>0.75</v>
      </c>
    </row>
    <row r="715" spans="15:18">
      <c r="O715" s="340"/>
      <c r="Q715" s="275">
        <f t="shared" si="44"/>
        <v>0.67800000000000049</v>
      </c>
      <c r="R715" s="276">
        <f t="shared" si="45"/>
        <v>0.75</v>
      </c>
    </row>
    <row r="716" spans="15:18">
      <c r="O716" s="340"/>
      <c r="Q716" s="275">
        <f t="shared" si="44"/>
        <v>0.67900000000000049</v>
      </c>
      <c r="R716" s="276">
        <f t="shared" si="45"/>
        <v>0.75</v>
      </c>
    </row>
    <row r="717" spans="15:18">
      <c r="O717" s="340"/>
      <c r="Q717" s="275">
        <f t="shared" si="44"/>
        <v>0.68000000000000049</v>
      </c>
      <c r="R717" s="276">
        <f t="shared" si="45"/>
        <v>0.75</v>
      </c>
    </row>
    <row r="718" spans="15:18">
      <c r="O718" s="340"/>
      <c r="Q718" s="275">
        <f t="shared" si="44"/>
        <v>0.68100000000000049</v>
      </c>
      <c r="R718" s="276">
        <f t="shared" si="45"/>
        <v>0.75</v>
      </c>
    </row>
    <row r="719" spans="15:18">
      <c r="O719" s="340"/>
      <c r="Q719" s="275">
        <f t="shared" si="44"/>
        <v>0.68200000000000049</v>
      </c>
      <c r="R719" s="276">
        <f t="shared" si="45"/>
        <v>0.75</v>
      </c>
    </row>
    <row r="720" spans="15:18">
      <c r="O720" s="340"/>
      <c r="Q720" s="275">
        <f t="shared" si="44"/>
        <v>0.6830000000000005</v>
      </c>
      <c r="R720" s="276">
        <f t="shared" si="45"/>
        <v>0.75</v>
      </c>
    </row>
    <row r="721" spans="15:18">
      <c r="O721" s="340"/>
      <c r="Q721" s="275">
        <f t="shared" si="44"/>
        <v>0.6840000000000005</v>
      </c>
      <c r="R721" s="276">
        <f t="shared" si="45"/>
        <v>0.75</v>
      </c>
    </row>
    <row r="722" spans="15:18">
      <c r="O722" s="340"/>
      <c r="Q722" s="275">
        <f t="shared" si="44"/>
        <v>0.6850000000000005</v>
      </c>
      <c r="R722" s="276">
        <f t="shared" si="45"/>
        <v>0.75</v>
      </c>
    </row>
    <row r="723" spans="15:18">
      <c r="O723" s="340"/>
      <c r="Q723" s="275">
        <f t="shared" si="44"/>
        <v>0.6860000000000005</v>
      </c>
      <c r="R723" s="276">
        <f t="shared" si="45"/>
        <v>0.75</v>
      </c>
    </row>
    <row r="724" spans="15:18">
      <c r="O724" s="340"/>
      <c r="Q724" s="275">
        <f t="shared" si="44"/>
        <v>0.6870000000000005</v>
      </c>
      <c r="R724" s="276">
        <f t="shared" si="45"/>
        <v>0.75</v>
      </c>
    </row>
    <row r="725" spans="15:18">
      <c r="O725" s="340"/>
      <c r="Q725" s="275">
        <f t="shared" si="44"/>
        <v>0.6880000000000005</v>
      </c>
      <c r="R725" s="276">
        <f t="shared" si="45"/>
        <v>0.75</v>
      </c>
    </row>
    <row r="726" spans="15:18">
      <c r="O726" s="340"/>
      <c r="Q726" s="275">
        <f t="shared" si="44"/>
        <v>0.6890000000000005</v>
      </c>
      <c r="R726" s="276">
        <f t="shared" si="45"/>
        <v>0.75</v>
      </c>
    </row>
    <row r="727" spans="15:18">
      <c r="O727" s="340"/>
      <c r="Q727" s="275">
        <f t="shared" si="44"/>
        <v>0.6900000000000005</v>
      </c>
      <c r="R727" s="276">
        <f t="shared" ref="R727:R758" si="46">3/4</f>
        <v>0.75</v>
      </c>
    </row>
    <row r="728" spans="15:18">
      <c r="O728" s="340"/>
      <c r="Q728" s="275">
        <f t="shared" si="44"/>
        <v>0.6910000000000005</v>
      </c>
      <c r="R728" s="276">
        <f t="shared" si="46"/>
        <v>0.75</v>
      </c>
    </row>
    <row r="729" spans="15:18">
      <c r="O729" s="340"/>
      <c r="Q729" s="275">
        <f t="shared" si="44"/>
        <v>0.6920000000000005</v>
      </c>
      <c r="R729" s="276">
        <f t="shared" si="46"/>
        <v>0.75</v>
      </c>
    </row>
    <row r="730" spans="15:18">
      <c r="O730" s="340"/>
      <c r="Q730" s="275">
        <f t="shared" si="44"/>
        <v>0.6930000000000005</v>
      </c>
      <c r="R730" s="276">
        <f t="shared" si="46"/>
        <v>0.75</v>
      </c>
    </row>
    <row r="731" spans="15:18">
      <c r="O731" s="340"/>
      <c r="Q731" s="275">
        <f t="shared" si="44"/>
        <v>0.69400000000000051</v>
      </c>
      <c r="R731" s="276">
        <f t="shared" si="46"/>
        <v>0.75</v>
      </c>
    </row>
    <row r="732" spans="15:18">
      <c r="O732" s="340"/>
      <c r="Q732" s="275">
        <f t="shared" si="44"/>
        <v>0.69500000000000051</v>
      </c>
      <c r="R732" s="276">
        <f t="shared" si="46"/>
        <v>0.75</v>
      </c>
    </row>
    <row r="733" spans="15:18">
      <c r="O733" s="340"/>
      <c r="Q733" s="275">
        <f t="shared" si="44"/>
        <v>0.69600000000000051</v>
      </c>
      <c r="R733" s="276">
        <f t="shared" si="46"/>
        <v>0.75</v>
      </c>
    </row>
    <row r="734" spans="15:18">
      <c r="O734" s="340"/>
      <c r="Q734" s="275">
        <f t="shared" si="44"/>
        <v>0.69700000000000051</v>
      </c>
      <c r="R734" s="276">
        <f t="shared" si="46"/>
        <v>0.75</v>
      </c>
    </row>
    <row r="735" spans="15:18">
      <c r="O735" s="340"/>
      <c r="Q735" s="275">
        <f t="shared" si="44"/>
        <v>0.69800000000000051</v>
      </c>
      <c r="R735" s="276">
        <f t="shared" si="46"/>
        <v>0.75</v>
      </c>
    </row>
    <row r="736" spans="15:18">
      <c r="O736" s="340"/>
      <c r="Q736" s="275">
        <f t="shared" si="44"/>
        <v>0.69900000000000051</v>
      </c>
      <c r="R736" s="276">
        <f t="shared" si="46"/>
        <v>0.75</v>
      </c>
    </row>
    <row r="737" spans="15:18">
      <c r="O737" s="340"/>
      <c r="Q737" s="275">
        <f t="shared" si="44"/>
        <v>0.70000000000000051</v>
      </c>
      <c r="R737" s="276">
        <f t="shared" si="46"/>
        <v>0.75</v>
      </c>
    </row>
    <row r="738" spans="15:18">
      <c r="O738" s="340"/>
      <c r="Q738" s="275">
        <f t="shared" si="44"/>
        <v>0.70100000000000051</v>
      </c>
      <c r="R738" s="276">
        <f t="shared" si="46"/>
        <v>0.75</v>
      </c>
    </row>
    <row r="739" spans="15:18">
      <c r="O739" s="340"/>
      <c r="Q739" s="275">
        <f t="shared" si="44"/>
        <v>0.70200000000000051</v>
      </c>
      <c r="R739" s="276">
        <f t="shared" si="46"/>
        <v>0.75</v>
      </c>
    </row>
    <row r="740" spans="15:18">
      <c r="O740" s="340"/>
      <c r="Q740" s="275">
        <f t="shared" si="44"/>
        <v>0.70300000000000051</v>
      </c>
      <c r="R740" s="276">
        <f t="shared" si="46"/>
        <v>0.75</v>
      </c>
    </row>
    <row r="741" spans="15:18">
      <c r="O741" s="340"/>
      <c r="Q741" s="275">
        <f t="shared" si="44"/>
        <v>0.70400000000000051</v>
      </c>
      <c r="R741" s="276">
        <f t="shared" si="46"/>
        <v>0.75</v>
      </c>
    </row>
    <row r="742" spans="15:18">
      <c r="O742" s="340"/>
      <c r="Q742" s="275">
        <f t="shared" si="44"/>
        <v>0.70500000000000052</v>
      </c>
      <c r="R742" s="276">
        <f t="shared" si="46"/>
        <v>0.75</v>
      </c>
    </row>
    <row r="743" spans="15:18">
      <c r="O743" s="340"/>
      <c r="Q743" s="275">
        <f t="shared" ref="Q743:Q806" si="47">Q742+0.001</f>
        <v>0.70600000000000052</v>
      </c>
      <c r="R743" s="276">
        <f t="shared" si="46"/>
        <v>0.75</v>
      </c>
    </row>
    <row r="744" spans="15:18">
      <c r="O744" s="340"/>
      <c r="Q744" s="275">
        <f t="shared" si="47"/>
        <v>0.70700000000000052</v>
      </c>
      <c r="R744" s="276">
        <f t="shared" si="46"/>
        <v>0.75</v>
      </c>
    </row>
    <row r="745" spans="15:18">
      <c r="O745" s="340"/>
      <c r="Q745" s="275">
        <f t="shared" si="47"/>
        <v>0.70800000000000052</v>
      </c>
      <c r="R745" s="276">
        <f t="shared" si="46"/>
        <v>0.75</v>
      </c>
    </row>
    <row r="746" spans="15:18">
      <c r="O746" s="340"/>
      <c r="Q746" s="275">
        <f t="shared" si="47"/>
        <v>0.70900000000000052</v>
      </c>
      <c r="R746" s="276">
        <f t="shared" si="46"/>
        <v>0.75</v>
      </c>
    </row>
    <row r="747" spans="15:18">
      <c r="O747" s="340"/>
      <c r="Q747" s="275">
        <f t="shared" si="47"/>
        <v>0.71000000000000052</v>
      </c>
      <c r="R747" s="276">
        <f t="shared" si="46"/>
        <v>0.75</v>
      </c>
    </row>
    <row r="748" spans="15:18">
      <c r="O748" s="340"/>
      <c r="Q748" s="275">
        <f t="shared" si="47"/>
        <v>0.71100000000000052</v>
      </c>
      <c r="R748" s="276">
        <f t="shared" si="46"/>
        <v>0.75</v>
      </c>
    </row>
    <row r="749" spans="15:18">
      <c r="O749" s="340"/>
      <c r="Q749" s="275">
        <f t="shared" si="47"/>
        <v>0.71200000000000052</v>
      </c>
      <c r="R749" s="276">
        <f t="shared" si="46"/>
        <v>0.75</v>
      </c>
    </row>
    <row r="750" spans="15:18">
      <c r="O750" s="340"/>
      <c r="Q750" s="275">
        <f t="shared" si="47"/>
        <v>0.71300000000000052</v>
      </c>
      <c r="R750" s="276">
        <f t="shared" si="46"/>
        <v>0.75</v>
      </c>
    </row>
    <row r="751" spans="15:18">
      <c r="O751" s="340"/>
      <c r="Q751" s="275">
        <f t="shared" si="47"/>
        <v>0.71400000000000052</v>
      </c>
      <c r="R751" s="276">
        <f t="shared" si="46"/>
        <v>0.75</v>
      </c>
    </row>
    <row r="752" spans="15:18">
      <c r="O752" s="340"/>
      <c r="Q752" s="275">
        <f t="shared" si="47"/>
        <v>0.71500000000000052</v>
      </c>
      <c r="R752" s="276">
        <f t="shared" si="46"/>
        <v>0.75</v>
      </c>
    </row>
    <row r="753" spans="15:18">
      <c r="O753" s="340"/>
      <c r="Q753" s="275">
        <f t="shared" si="47"/>
        <v>0.71600000000000052</v>
      </c>
      <c r="R753" s="276">
        <f t="shared" si="46"/>
        <v>0.75</v>
      </c>
    </row>
    <row r="754" spans="15:18">
      <c r="O754" s="340"/>
      <c r="Q754" s="275">
        <f t="shared" si="47"/>
        <v>0.71700000000000053</v>
      </c>
      <c r="R754" s="276">
        <f t="shared" si="46"/>
        <v>0.75</v>
      </c>
    </row>
    <row r="755" spans="15:18">
      <c r="O755" s="340"/>
      <c r="Q755" s="275">
        <f t="shared" si="47"/>
        <v>0.71800000000000053</v>
      </c>
      <c r="R755" s="276">
        <f t="shared" si="46"/>
        <v>0.75</v>
      </c>
    </row>
    <row r="756" spans="15:18">
      <c r="O756" s="340"/>
      <c r="Q756" s="275">
        <f t="shared" si="47"/>
        <v>0.71900000000000053</v>
      </c>
      <c r="R756" s="276">
        <f t="shared" si="46"/>
        <v>0.75</v>
      </c>
    </row>
    <row r="757" spans="15:18">
      <c r="O757" s="340"/>
      <c r="Q757" s="275">
        <f t="shared" si="47"/>
        <v>0.72000000000000053</v>
      </c>
      <c r="R757" s="276">
        <f t="shared" si="46"/>
        <v>0.75</v>
      </c>
    </row>
    <row r="758" spans="15:18">
      <c r="O758" s="340"/>
      <c r="Q758" s="275">
        <f t="shared" si="47"/>
        <v>0.72100000000000053</v>
      </c>
      <c r="R758" s="276">
        <f t="shared" si="46"/>
        <v>0.75</v>
      </c>
    </row>
    <row r="759" spans="15:18">
      <c r="O759" s="340"/>
      <c r="Q759" s="275">
        <f t="shared" si="47"/>
        <v>0.72200000000000053</v>
      </c>
      <c r="R759" s="276">
        <f t="shared" ref="R759:R787" si="48">3/4</f>
        <v>0.75</v>
      </c>
    </row>
    <row r="760" spans="15:18">
      <c r="O760" s="340"/>
      <c r="Q760" s="275">
        <f t="shared" si="47"/>
        <v>0.72300000000000053</v>
      </c>
      <c r="R760" s="276">
        <f t="shared" si="48"/>
        <v>0.75</v>
      </c>
    </row>
    <row r="761" spans="15:18">
      <c r="O761" s="340"/>
      <c r="Q761" s="275">
        <f t="shared" si="47"/>
        <v>0.72400000000000053</v>
      </c>
      <c r="R761" s="276">
        <f t="shared" si="48"/>
        <v>0.75</v>
      </c>
    </row>
    <row r="762" spans="15:18">
      <c r="O762" s="340"/>
      <c r="Q762" s="275">
        <f t="shared" si="47"/>
        <v>0.72500000000000053</v>
      </c>
      <c r="R762" s="276">
        <f t="shared" si="48"/>
        <v>0.75</v>
      </c>
    </row>
    <row r="763" spans="15:18">
      <c r="O763" s="340"/>
      <c r="Q763" s="275">
        <f t="shared" si="47"/>
        <v>0.72600000000000053</v>
      </c>
      <c r="R763" s="276">
        <f t="shared" si="48"/>
        <v>0.75</v>
      </c>
    </row>
    <row r="764" spans="15:18">
      <c r="O764" s="340"/>
      <c r="Q764" s="275">
        <f t="shared" si="47"/>
        <v>0.72700000000000053</v>
      </c>
      <c r="R764" s="276">
        <f t="shared" si="48"/>
        <v>0.75</v>
      </c>
    </row>
    <row r="765" spans="15:18">
      <c r="O765" s="340"/>
      <c r="Q765" s="275">
        <f t="shared" si="47"/>
        <v>0.72800000000000054</v>
      </c>
      <c r="R765" s="276">
        <f t="shared" si="48"/>
        <v>0.75</v>
      </c>
    </row>
    <row r="766" spans="15:18">
      <c r="O766" s="340"/>
      <c r="Q766" s="275">
        <f t="shared" si="47"/>
        <v>0.72900000000000054</v>
      </c>
      <c r="R766" s="276">
        <f t="shared" si="48"/>
        <v>0.75</v>
      </c>
    </row>
    <row r="767" spans="15:18">
      <c r="O767" s="340"/>
      <c r="Q767" s="275">
        <f t="shared" si="47"/>
        <v>0.73000000000000054</v>
      </c>
      <c r="R767" s="276">
        <f t="shared" si="48"/>
        <v>0.75</v>
      </c>
    </row>
    <row r="768" spans="15:18">
      <c r="O768" s="340"/>
      <c r="Q768" s="275">
        <f t="shared" si="47"/>
        <v>0.73100000000000054</v>
      </c>
      <c r="R768" s="276">
        <f t="shared" si="48"/>
        <v>0.75</v>
      </c>
    </row>
    <row r="769" spans="15:18">
      <c r="O769" s="340"/>
      <c r="Q769" s="275">
        <f t="shared" si="47"/>
        <v>0.73200000000000054</v>
      </c>
      <c r="R769" s="276">
        <f t="shared" si="48"/>
        <v>0.75</v>
      </c>
    </row>
    <row r="770" spans="15:18">
      <c r="O770" s="340"/>
      <c r="Q770" s="275">
        <f t="shared" si="47"/>
        <v>0.73300000000000054</v>
      </c>
      <c r="R770" s="276">
        <f t="shared" si="48"/>
        <v>0.75</v>
      </c>
    </row>
    <row r="771" spans="15:18">
      <c r="O771" s="340"/>
      <c r="Q771" s="275">
        <f t="shared" si="47"/>
        <v>0.73400000000000054</v>
      </c>
      <c r="R771" s="276">
        <f t="shared" si="48"/>
        <v>0.75</v>
      </c>
    </row>
    <row r="772" spans="15:18">
      <c r="O772" s="340"/>
      <c r="Q772" s="275">
        <f t="shared" si="47"/>
        <v>0.73500000000000054</v>
      </c>
      <c r="R772" s="276">
        <f t="shared" si="48"/>
        <v>0.75</v>
      </c>
    </row>
    <row r="773" spans="15:18">
      <c r="O773" s="340"/>
      <c r="Q773" s="275">
        <f t="shared" si="47"/>
        <v>0.73600000000000054</v>
      </c>
      <c r="R773" s="276">
        <f t="shared" si="48"/>
        <v>0.75</v>
      </c>
    </row>
    <row r="774" spans="15:18">
      <c r="O774" s="340"/>
      <c r="Q774" s="275">
        <f t="shared" si="47"/>
        <v>0.73700000000000054</v>
      </c>
      <c r="R774" s="276">
        <f t="shared" si="48"/>
        <v>0.75</v>
      </c>
    </row>
    <row r="775" spans="15:18">
      <c r="O775" s="340"/>
      <c r="Q775" s="275">
        <f t="shared" si="47"/>
        <v>0.73800000000000054</v>
      </c>
      <c r="R775" s="276">
        <f t="shared" si="48"/>
        <v>0.75</v>
      </c>
    </row>
    <row r="776" spans="15:18">
      <c r="O776" s="340"/>
      <c r="Q776" s="275">
        <f t="shared" si="47"/>
        <v>0.73900000000000055</v>
      </c>
      <c r="R776" s="276">
        <f t="shared" si="48"/>
        <v>0.75</v>
      </c>
    </row>
    <row r="777" spans="15:18">
      <c r="O777" s="340"/>
      <c r="Q777" s="275">
        <f t="shared" si="47"/>
        <v>0.74000000000000055</v>
      </c>
      <c r="R777" s="276">
        <f t="shared" si="48"/>
        <v>0.75</v>
      </c>
    </row>
    <row r="778" spans="15:18">
      <c r="O778" s="340"/>
      <c r="Q778" s="275">
        <f t="shared" si="47"/>
        <v>0.74100000000000055</v>
      </c>
      <c r="R778" s="276">
        <f t="shared" si="48"/>
        <v>0.75</v>
      </c>
    </row>
    <row r="779" spans="15:18">
      <c r="O779" s="340"/>
      <c r="Q779" s="275">
        <f t="shared" si="47"/>
        <v>0.74200000000000055</v>
      </c>
      <c r="R779" s="276">
        <f t="shared" si="48"/>
        <v>0.75</v>
      </c>
    </row>
    <row r="780" spans="15:18">
      <c r="O780" s="340"/>
      <c r="Q780" s="275">
        <f t="shared" si="47"/>
        <v>0.74300000000000055</v>
      </c>
      <c r="R780" s="276">
        <f t="shared" si="48"/>
        <v>0.75</v>
      </c>
    </row>
    <row r="781" spans="15:18">
      <c r="O781" s="340"/>
      <c r="Q781" s="275">
        <f t="shared" si="47"/>
        <v>0.74400000000000055</v>
      </c>
      <c r="R781" s="276">
        <f t="shared" si="48"/>
        <v>0.75</v>
      </c>
    </row>
    <row r="782" spans="15:18">
      <c r="O782" s="340"/>
      <c r="Q782" s="275">
        <f t="shared" si="47"/>
        <v>0.74500000000000055</v>
      </c>
      <c r="R782" s="276">
        <f t="shared" si="48"/>
        <v>0.75</v>
      </c>
    </row>
    <row r="783" spans="15:18">
      <c r="O783" s="340"/>
      <c r="Q783" s="275">
        <f t="shared" si="47"/>
        <v>0.74600000000000055</v>
      </c>
      <c r="R783" s="276">
        <f t="shared" si="48"/>
        <v>0.75</v>
      </c>
    </row>
    <row r="784" spans="15:18">
      <c r="O784" s="340"/>
      <c r="Q784" s="275">
        <f t="shared" si="47"/>
        <v>0.74700000000000055</v>
      </c>
      <c r="R784" s="276">
        <f t="shared" si="48"/>
        <v>0.75</v>
      </c>
    </row>
    <row r="785" spans="15:18">
      <c r="O785" s="340"/>
      <c r="Q785" s="275">
        <f t="shared" si="47"/>
        <v>0.74800000000000055</v>
      </c>
      <c r="R785" s="276">
        <f t="shared" si="48"/>
        <v>0.75</v>
      </c>
    </row>
    <row r="786" spans="15:18">
      <c r="O786" s="340"/>
      <c r="Q786" s="275">
        <f t="shared" si="47"/>
        <v>0.74900000000000055</v>
      </c>
      <c r="R786" s="276">
        <f t="shared" si="48"/>
        <v>0.75</v>
      </c>
    </row>
    <row r="787" spans="15:18">
      <c r="O787" s="340"/>
      <c r="Q787" s="275">
        <f t="shared" si="47"/>
        <v>0.75000000000000056</v>
      </c>
      <c r="R787" s="276">
        <f t="shared" si="48"/>
        <v>0.75</v>
      </c>
    </row>
    <row r="788" spans="15:18">
      <c r="O788" s="340"/>
      <c r="Q788" s="275">
        <f t="shared" si="47"/>
        <v>0.75100000000000056</v>
      </c>
      <c r="R788" s="276">
        <f t="shared" ref="R788:R819" si="49">7/8</f>
        <v>0.875</v>
      </c>
    </row>
    <row r="789" spans="15:18">
      <c r="O789" s="340"/>
      <c r="Q789" s="275">
        <f t="shared" si="47"/>
        <v>0.75200000000000056</v>
      </c>
      <c r="R789" s="276">
        <f t="shared" si="49"/>
        <v>0.875</v>
      </c>
    </row>
    <row r="790" spans="15:18">
      <c r="O790" s="340"/>
      <c r="Q790" s="275">
        <f t="shared" si="47"/>
        <v>0.75300000000000056</v>
      </c>
      <c r="R790" s="276">
        <f t="shared" si="49"/>
        <v>0.875</v>
      </c>
    </row>
    <row r="791" spans="15:18">
      <c r="O791" s="340"/>
      <c r="Q791" s="275">
        <f t="shared" si="47"/>
        <v>0.75400000000000056</v>
      </c>
      <c r="R791" s="276">
        <f t="shared" si="49"/>
        <v>0.875</v>
      </c>
    </row>
    <row r="792" spans="15:18">
      <c r="O792" s="340"/>
      <c r="Q792" s="275">
        <f t="shared" si="47"/>
        <v>0.75500000000000056</v>
      </c>
      <c r="R792" s="276">
        <f t="shared" si="49"/>
        <v>0.875</v>
      </c>
    </row>
    <row r="793" spans="15:18">
      <c r="O793" s="340"/>
      <c r="Q793" s="275">
        <f t="shared" si="47"/>
        <v>0.75600000000000056</v>
      </c>
      <c r="R793" s="276">
        <f t="shared" si="49"/>
        <v>0.875</v>
      </c>
    </row>
    <row r="794" spans="15:18">
      <c r="O794" s="340"/>
      <c r="Q794" s="275">
        <f t="shared" si="47"/>
        <v>0.75700000000000056</v>
      </c>
      <c r="R794" s="276">
        <f t="shared" si="49"/>
        <v>0.875</v>
      </c>
    </row>
    <row r="795" spans="15:18">
      <c r="O795" s="340"/>
      <c r="Q795" s="275">
        <f t="shared" si="47"/>
        <v>0.75800000000000056</v>
      </c>
      <c r="R795" s="276">
        <f t="shared" si="49"/>
        <v>0.875</v>
      </c>
    </row>
    <row r="796" spans="15:18">
      <c r="O796" s="340"/>
      <c r="Q796" s="275">
        <f t="shared" si="47"/>
        <v>0.75900000000000056</v>
      </c>
      <c r="R796" s="276">
        <f t="shared" si="49"/>
        <v>0.875</v>
      </c>
    </row>
    <row r="797" spans="15:18">
      <c r="O797" s="340"/>
      <c r="Q797" s="275">
        <f t="shared" si="47"/>
        <v>0.76000000000000056</v>
      </c>
      <c r="R797" s="276">
        <f t="shared" si="49"/>
        <v>0.875</v>
      </c>
    </row>
    <row r="798" spans="15:18">
      <c r="O798" s="340"/>
      <c r="Q798" s="275">
        <f t="shared" si="47"/>
        <v>0.76100000000000056</v>
      </c>
      <c r="R798" s="276">
        <f t="shared" si="49"/>
        <v>0.875</v>
      </c>
    </row>
    <row r="799" spans="15:18">
      <c r="O799" s="340"/>
      <c r="Q799" s="275">
        <f t="shared" si="47"/>
        <v>0.76200000000000057</v>
      </c>
      <c r="R799" s="276">
        <f t="shared" si="49"/>
        <v>0.875</v>
      </c>
    </row>
    <row r="800" spans="15:18">
      <c r="O800" s="340"/>
      <c r="Q800" s="275">
        <f t="shared" si="47"/>
        <v>0.76300000000000057</v>
      </c>
      <c r="R800" s="276">
        <f t="shared" si="49"/>
        <v>0.875</v>
      </c>
    </row>
    <row r="801" spans="15:18">
      <c r="O801" s="340"/>
      <c r="Q801" s="275">
        <f t="shared" si="47"/>
        <v>0.76400000000000057</v>
      </c>
      <c r="R801" s="276">
        <f t="shared" si="49"/>
        <v>0.875</v>
      </c>
    </row>
    <row r="802" spans="15:18">
      <c r="O802" s="340"/>
      <c r="Q802" s="275">
        <f t="shared" si="47"/>
        <v>0.76500000000000057</v>
      </c>
      <c r="R802" s="276">
        <f t="shared" si="49"/>
        <v>0.875</v>
      </c>
    </row>
    <row r="803" spans="15:18">
      <c r="O803" s="340"/>
      <c r="Q803" s="275">
        <f t="shared" si="47"/>
        <v>0.76600000000000057</v>
      </c>
      <c r="R803" s="276">
        <f t="shared" si="49"/>
        <v>0.875</v>
      </c>
    </row>
    <row r="804" spans="15:18">
      <c r="O804" s="340"/>
      <c r="Q804" s="275">
        <f t="shared" si="47"/>
        <v>0.76700000000000057</v>
      </c>
      <c r="R804" s="276">
        <f t="shared" si="49"/>
        <v>0.875</v>
      </c>
    </row>
    <row r="805" spans="15:18">
      <c r="O805" s="340"/>
      <c r="Q805" s="275">
        <f t="shared" si="47"/>
        <v>0.76800000000000057</v>
      </c>
      <c r="R805" s="276">
        <f t="shared" si="49"/>
        <v>0.875</v>
      </c>
    </row>
    <row r="806" spans="15:18">
      <c r="O806" s="340"/>
      <c r="Q806" s="275">
        <f t="shared" si="47"/>
        <v>0.76900000000000057</v>
      </c>
      <c r="R806" s="276">
        <f t="shared" si="49"/>
        <v>0.875</v>
      </c>
    </row>
    <row r="807" spans="15:18">
      <c r="O807" s="340"/>
      <c r="Q807" s="275">
        <f t="shared" ref="Q807:Q870" si="50">Q806+0.001</f>
        <v>0.77000000000000057</v>
      </c>
      <c r="R807" s="276">
        <f t="shared" si="49"/>
        <v>0.875</v>
      </c>
    </row>
    <row r="808" spans="15:18">
      <c r="O808" s="340"/>
      <c r="Q808" s="275">
        <f t="shared" si="50"/>
        <v>0.77100000000000057</v>
      </c>
      <c r="R808" s="276">
        <f t="shared" si="49"/>
        <v>0.875</v>
      </c>
    </row>
    <row r="809" spans="15:18">
      <c r="O809" s="340"/>
      <c r="Q809" s="275">
        <f t="shared" si="50"/>
        <v>0.77200000000000057</v>
      </c>
      <c r="R809" s="276">
        <f t="shared" si="49"/>
        <v>0.875</v>
      </c>
    </row>
    <row r="810" spans="15:18">
      <c r="O810" s="340"/>
      <c r="Q810" s="275">
        <f t="shared" si="50"/>
        <v>0.77300000000000058</v>
      </c>
      <c r="R810" s="276">
        <f t="shared" si="49"/>
        <v>0.875</v>
      </c>
    </row>
    <row r="811" spans="15:18">
      <c r="O811" s="340"/>
      <c r="Q811" s="275">
        <f t="shared" si="50"/>
        <v>0.77400000000000058</v>
      </c>
      <c r="R811" s="276">
        <f t="shared" si="49"/>
        <v>0.875</v>
      </c>
    </row>
    <row r="812" spans="15:18">
      <c r="O812" s="340"/>
      <c r="Q812" s="275">
        <f t="shared" si="50"/>
        <v>0.77500000000000058</v>
      </c>
      <c r="R812" s="276">
        <f t="shared" si="49"/>
        <v>0.875</v>
      </c>
    </row>
    <row r="813" spans="15:18">
      <c r="O813" s="340"/>
      <c r="Q813" s="275">
        <f t="shared" si="50"/>
        <v>0.77600000000000058</v>
      </c>
      <c r="R813" s="276">
        <f t="shared" si="49"/>
        <v>0.875</v>
      </c>
    </row>
    <row r="814" spans="15:18">
      <c r="O814" s="340"/>
      <c r="Q814" s="275">
        <f t="shared" si="50"/>
        <v>0.77700000000000058</v>
      </c>
      <c r="R814" s="276">
        <f t="shared" si="49"/>
        <v>0.875</v>
      </c>
    </row>
    <row r="815" spans="15:18">
      <c r="O815" s="340"/>
      <c r="Q815" s="275">
        <f t="shared" si="50"/>
        <v>0.77800000000000058</v>
      </c>
      <c r="R815" s="276">
        <f t="shared" si="49"/>
        <v>0.875</v>
      </c>
    </row>
    <row r="816" spans="15:18">
      <c r="O816" s="340"/>
      <c r="Q816" s="275">
        <f t="shared" si="50"/>
        <v>0.77900000000000058</v>
      </c>
      <c r="R816" s="276">
        <f t="shared" si="49"/>
        <v>0.875</v>
      </c>
    </row>
    <row r="817" spans="15:18">
      <c r="O817" s="340"/>
      <c r="Q817" s="275">
        <f t="shared" si="50"/>
        <v>0.78000000000000058</v>
      </c>
      <c r="R817" s="276">
        <f t="shared" si="49"/>
        <v>0.875</v>
      </c>
    </row>
    <row r="818" spans="15:18">
      <c r="O818" s="340"/>
      <c r="Q818" s="275">
        <f t="shared" si="50"/>
        <v>0.78100000000000058</v>
      </c>
      <c r="R818" s="276">
        <f t="shared" si="49"/>
        <v>0.875</v>
      </c>
    </row>
    <row r="819" spans="15:18">
      <c r="O819" s="340"/>
      <c r="Q819" s="275">
        <f t="shared" si="50"/>
        <v>0.78200000000000058</v>
      </c>
      <c r="R819" s="276">
        <f t="shared" si="49"/>
        <v>0.875</v>
      </c>
    </row>
    <row r="820" spans="15:18">
      <c r="O820" s="340"/>
      <c r="Q820" s="275">
        <f t="shared" si="50"/>
        <v>0.78300000000000058</v>
      </c>
      <c r="R820" s="276">
        <f t="shared" ref="R820:R851" si="51">7/8</f>
        <v>0.875</v>
      </c>
    </row>
    <row r="821" spans="15:18">
      <c r="O821" s="340"/>
      <c r="Q821" s="275">
        <f t="shared" si="50"/>
        <v>0.78400000000000059</v>
      </c>
      <c r="R821" s="276">
        <f t="shared" si="51"/>
        <v>0.875</v>
      </c>
    </row>
    <row r="822" spans="15:18">
      <c r="O822" s="340"/>
      <c r="Q822" s="275">
        <f t="shared" si="50"/>
        <v>0.78500000000000059</v>
      </c>
      <c r="R822" s="276">
        <f t="shared" si="51"/>
        <v>0.875</v>
      </c>
    </row>
    <row r="823" spans="15:18">
      <c r="O823" s="340"/>
      <c r="Q823" s="275">
        <f t="shared" si="50"/>
        <v>0.78600000000000059</v>
      </c>
      <c r="R823" s="276">
        <f t="shared" si="51"/>
        <v>0.875</v>
      </c>
    </row>
    <row r="824" spans="15:18">
      <c r="O824" s="340"/>
      <c r="Q824" s="275">
        <f t="shared" si="50"/>
        <v>0.78700000000000059</v>
      </c>
      <c r="R824" s="276">
        <f t="shared" si="51"/>
        <v>0.875</v>
      </c>
    </row>
    <row r="825" spans="15:18">
      <c r="O825" s="340"/>
      <c r="Q825" s="275">
        <f t="shared" si="50"/>
        <v>0.78800000000000059</v>
      </c>
      <c r="R825" s="276">
        <f t="shared" si="51"/>
        <v>0.875</v>
      </c>
    </row>
    <row r="826" spans="15:18">
      <c r="O826" s="340"/>
      <c r="Q826" s="275">
        <f t="shared" si="50"/>
        <v>0.78900000000000059</v>
      </c>
      <c r="R826" s="276">
        <f t="shared" si="51"/>
        <v>0.875</v>
      </c>
    </row>
    <row r="827" spans="15:18">
      <c r="O827" s="340"/>
      <c r="Q827" s="275">
        <f t="shared" si="50"/>
        <v>0.79000000000000059</v>
      </c>
      <c r="R827" s="276">
        <f t="shared" si="51"/>
        <v>0.875</v>
      </c>
    </row>
    <row r="828" spans="15:18">
      <c r="O828" s="340"/>
      <c r="Q828" s="275">
        <f t="shared" si="50"/>
        <v>0.79100000000000059</v>
      </c>
      <c r="R828" s="276">
        <f t="shared" si="51"/>
        <v>0.875</v>
      </c>
    </row>
    <row r="829" spans="15:18">
      <c r="O829" s="340"/>
      <c r="Q829" s="275">
        <f t="shared" si="50"/>
        <v>0.79200000000000059</v>
      </c>
      <c r="R829" s="276">
        <f t="shared" si="51"/>
        <v>0.875</v>
      </c>
    </row>
    <row r="830" spans="15:18">
      <c r="O830" s="340"/>
      <c r="Q830" s="275">
        <f t="shared" si="50"/>
        <v>0.79300000000000059</v>
      </c>
      <c r="R830" s="276">
        <f t="shared" si="51"/>
        <v>0.875</v>
      </c>
    </row>
    <row r="831" spans="15:18">
      <c r="O831" s="340"/>
      <c r="Q831" s="275">
        <f t="shared" si="50"/>
        <v>0.79400000000000059</v>
      </c>
      <c r="R831" s="276">
        <f t="shared" si="51"/>
        <v>0.875</v>
      </c>
    </row>
    <row r="832" spans="15:18">
      <c r="O832" s="340"/>
      <c r="Q832" s="275">
        <f t="shared" si="50"/>
        <v>0.7950000000000006</v>
      </c>
      <c r="R832" s="276">
        <f t="shared" si="51"/>
        <v>0.875</v>
      </c>
    </row>
    <row r="833" spans="15:18">
      <c r="O833" s="340"/>
      <c r="Q833" s="275">
        <f t="shared" si="50"/>
        <v>0.7960000000000006</v>
      </c>
      <c r="R833" s="276">
        <f t="shared" si="51"/>
        <v>0.875</v>
      </c>
    </row>
    <row r="834" spans="15:18">
      <c r="O834" s="340"/>
      <c r="Q834" s="275">
        <f t="shared" si="50"/>
        <v>0.7970000000000006</v>
      </c>
      <c r="R834" s="276">
        <f t="shared" si="51"/>
        <v>0.875</v>
      </c>
    </row>
    <row r="835" spans="15:18">
      <c r="O835" s="340"/>
      <c r="Q835" s="275">
        <f t="shared" si="50"/>
        <v>0.7980000000000006</v>
      </c>
      <c r="R835" s="276">
        <f t="shared" si="51"/>
        <v>0.875</v>
      </c>
    </row>
    <row r="836" spans="15:18">
      <c r="O836" s="340"/>
      <c r="Q836" s="275">
        <f t="shared" si="50"/>
        <v>0.7990000000000006</v>
      </c>
      <c r="R836" s="276">
        <f t="shared" si="51"/>
        <v>0.875</v>
      </c>
    </row>
    <row r="837" spans="15:18">
      <c r="O837" s="340"/>
      <c r="Q837" s="275">
        <f t="shared" si="50"/>
        <v>0.8000000000000006</v>
      </c>
      <c r="R837" s="276">
        <f t="shared" si="51"/>
        <v>0.875</v>
      </c>
    </row>
    <row r="838" spans="15:18">
      <c r="O838" s="340"/>
      <c r="Q838" s="275">
        <f t="shared" si="50"/>
        <v>0.8010000000000006</v>
      </c>
      <c r="R838" s="276">
        <f t="shared" si="51"/>
        <v>0.875</v>
      </c>
    </row>
    <row r="839" spans="15:18">
      <c r="O839" s="340"/>
      <c r="Q839" s="275">
        <f t="shared" si="50"/>
        <v>0.8020000000000006</v>
      </c>
      <c r="R839" s="276">
        <f t="shared" si="51"/>
        <v>0.875</v>
      </c>
    </row>
    <row r="840" spans="15:18">
      <c r="O840" s="340"/>
      <c r="Q840" s="275">
        <f t="shared" si="50"/>
        <v>0.8030000000000006</v>
      </c>
      <c r="R840" s="276">
        <f t="shared" si="51"/>
        <v>0.875</v>
      </c>
    </row>
    <row r="841" spans="15:18">
      <c r="O841" s="340"/>
      <c r="Q841" s="275">
        <f t="shared" si="50"/>
        <v>0.8040000000000006</v>
      </c>
      <c r="R841" s="276">
        <f t="shared" si="51"/>
        <v>0.875</v>
      </c>
    </row>
    <row r="842" spans="15:18">
      <c r="O842" s="340"/>
      <c r="Q842" s="275">
        <f t="shared" si="50"/>
        <v>0.8050000000000006</v>
      </c>
      <c r="R842" s="276">
        <f t="shared" si="51"/>
        <v>0.875</v>
      </c>
    </row>
    <row r="843" spans="15:18">
      <c r="O843" s="340"/>
      <c r="Q843" s="275">
        <f t="shared" si="50"/>
        <v>0.8060000000000006</v>
      </c>
      <c r="R843" s="276">
        <f t="shared" si="51"/>
        <v>0.875</v>
      </c>
    </row>
    <row r="844" spans="15:18">
      <c r="O844" s="340"/>
      <c r="Q844" s="275">
        <f t="shared" si="50"/>
        <v>0.80700000000000061</v>
      </c>
      <c r="R844" s="276">
        <f t="shared" si="51"/>
        <v>0.875</v>
      </c>
    </row>
    <row r="845" spans="15:18">
      <c r="O845" s="340"/>
      <c r="Q845" s="275">
        <f t="shared" si="50"/>
        <v>0.80800000000000061</v>
      </c>
      <c r="R845" s="276">
        <f t="shared" si="51"/>
        <v>0.875</v>
      </c>
    </row>
    <row r="846" spans="15:18">
      <c r="O846" s="340"/>
      <c r="Q846" s="275">
        <f t="shared" si="50"/>
        <v>0.80900000000000061</v>
      </c>
      <c r="R846" s="276">
        <f t="shared" si="51"/>
        <v>0.875</v>
      </c>
    </row>
    <row r="847" spans="15:18">
      <c r="O847" s="340"/>
      <c r="Q847" s="275">
        <f t="shared" si="50"/>
        <v>0.81000000000000061</v>
      </c>
      <c r="R847" s="276">
        <f t="shared" si="51"/>
        <v>0.875</v>
      </c>
    </row>
    <row r="848" spans="15:18">
      <c r="O848" s="340"/>
      <c r="Q848" s="275">
        <f t="shared" si="50"/>
        <v>0.81100000000000061</v>
      </c>
      <c r="R848" s="276">
        <f t="shared" si="51"/>
        <v>0.875</v>
      </c>
    </row>
    <row r="849" spans="15:18">
      <c r="O849" s="340"/>
      <c r="Q849" s="275">
        <f t="shared" si="50"/>
        <v>0.81200000000000061</v>
      </c>
      <c r="R849" s="276">
        <f t="shared" si="51"/>
        <v>0.875</v>
      </c>
    </row>
    <row r="850" spans="15:18">
      <c r="O850" s="340"/>
      <c r="Q850" s="275">
        <f t="shared" si="50"/>
        <v>0.81300000000000061</v>
      </c>
      <c r="R850" s="276">
        <f t="shared" si="51"/>
        <v>0.875</v>
      </c>
    </row>
    <row r="851" spans="15:18">
      <c r="O851" s="340"/>
      <c r="Q851" s="275">
        <f t="shared" si="50"/>
        <v>0.81400000000000061</v>
      </c>
      <c r="R851" s="276">
        <f t="shared" si="51"/>
        <v>0.875</v>
      </c>
    </row>
    <row r="852" spans="15:18">
      <c r="O852" s="340"/>
      <c r="Q852" s="275">
        <f t="shared" si="50"/>
        <v>0.81500000000000061</v>
      </c>
      <c r="R852" s="276">
        <f t="shared" ref="R852:R883" si="52">7/8</f>
        <v>0.875</v>
      </c>
    </row>
    <row r="853" spans="15:18">
      <c r="O853" s="340"/>
      <c r="Q853" s="275">
        <f t="shared" si="50"/>
        <v>0.81600000000000061</v>
      </c>
      <c r="R853" s="276">
        <f t="shared" si="52"/>
        <v>0.875</v>
      </c>
    </row>
    <row r="854" spans="15:18">
      <c r="O854" s="340"/>
      <c r="Q854" s="275">
        <f t="shared" si="50"/>
        <v>0.81700000000000061</v>
      </c>
      <c r="R854" s="276">
        <f t="shared" si="52"/>
        <v>0.875</v>
      </c>
    </row>
    <row r="855" spans="15:18">
      <c r="O855" s="340"/>
      <c r="Q855" s="275">
        <f t="shared" si="50"/>
        <v>0.81800000000000062</v>
      </c>
      <c r="R855" s="276">
        <f t="shared" si="52"/>
        <v>0.875</v>
      </c>
    </row>
    <row r="856" spans="15:18">
      <c r="O856" s="340"/>
      <c r="Q856" s="275">
        <f t="shared" si="50"/>
        <v>0.81900000000000062</v>
      </c>
      <c r="R856" s="276">
        <f t="shared" si="52"/>
        <v>0.875</v>
      </c>
    </row>
    <row r="857" spans="15:18">
      <c r="O857" s="340"/>
      <c r="Q857" s="275">
        <f t="shared" si="50"/>
        <v>0.82000000000000062</v>
      </c>
      <c r="R857" s="276">
        <f t="shared" si="52"/>
        <v>0.875</v>
      </c>
    </row>
    <row r="858" spans="15:18">
      <c r="O858" s="340"/>
      <c r="Q858" s="275">
        <f t="shared" si="50"/>
        <v>0.82100000000000062</v>
      </c>
      <c r="R858" s="276">
        <f t="shared" si="52"/>
        <v>0.875</v>
      </c>
    </row>
    <row r="859" spans="15:18">
      <c r="O859" s="340"/>
      <c r="Q859" s="275">
        <f t="shared" si="50"/>
        <v>0.82200000000000062</v>
      </c>
      <c r="R859" s="276">
        <f t="shared" si="52"/>
        <v>0.875</v>
      </c>
    </row>
    <row r="860" spans="15:18">
      <c r="O860" s="340"/>
      <c r="Q860" s="275">
        <f t="shared" si="50"/>
        <v>0.82300000000000062</v>
      </c>
      <c r="R860" s="276">
        <f t="shared" si="52"/>
        <v>0.875</v>
      </c>
    </row>
    <row r="861" spans="15:18">
      <c r="O861" s="340"/>
      <c r="Q861" s="275">
        <f t="shared" si="50"/>
        <v>0.82400000000000062</v>
      </c>
      <c r="R861" s="276">
        <f t="shared" si="52"/>
        <v>0.875</v>
      </c>
    </row>
    <row r="862" spans="15:18">
      <c r="O862" s="340"/>
      <c r="Q862" s="275">
        <f t="shared" si="50"/>
        <v>0.82500000000000062</v>
      </c>
      <c r="R862" s="276">
        <f t="shared" si="52"/>
        <v>0.875</v>
      </c>
    </row>
    <row r="863" spans="15:18">
      <c r="O863" s="340"/>
      <c r="Q863" s="275">
        <f t="shared" si="50"/>
        <v>0.82600000000000062</v>
      </c>
      <c r="R863" s="276">
        <f t="shared" si="52"/>
        <v>0.875</v>
      </c>
    </row>
    <row r="864" spans="15:18">
      <c r="O864" s="340"/>
      <c r="Q864" s="275">
        <f t="shared" si="50"/>
        <v>0.82700000000000062</v>
      </c>
      <c r="R864" s="276">
        <f t="shared" si="52"/>
        <v>0.875</v>
      </c>
    </row>
    <row r="865" spans="15:18">
      <c r="O865" s="340"/>
      <c r="Q865" s="275">
        <f t="shared" si="50"/>
        <v>0.82800000000000062</v>
      </c>
      <c r="R865" s="276">
        <f t="shared" si="52"/>
        <v>0.875</v>
      </c>
    </row>
    <row r="866" spans="15:18">
      <c r="O866" s="340"/>
      <c r="Q866" s="275">
        <f t="shared" si="50"/>
        <v>0.82900000000000063</v>
      </c>
      <c r="R866" s="276">
        <f t="shared" si="52"/>
        <v>0.875</v>
      </c>
    </row>
    <row r="867" spans="15:18">
      <c r="O867" s="340"/>
      <c r="Q867" s="275">
        <f t="shared" si="50"/>
        <v>0.83000000000000063</v>
      </c>
      <c r="R867" s="276">
        <f t="shared" si="52"/>
        <v>0.875</v>
      </c>
    </row>
    <row r="868" spans="15:18">
      <c r="O868" s="340"/>
      <c r="Q868" s="275">
        <f t="shared" si="50"/>
        <v>0.83100000000000063</v>
      </c>
      <c r="R868" s="276">
        <f t="shared" si="52"/>
        <v>0.875</v>
      </c>
    </row>
    <row r="869" spans="15:18">
      <c r="O869" s="340"/>
      <c r="Q869" s="275">
        <f t="shared" si="50"/>
        <v>0.83200000000000063</v>
      </c>
      <c r="R869" s="276">
        <f t="shared" si="52"/>
        <v>0.875</v>
      </c>
    </row>
    <row r="870" spans="15:18">
      <c r="O870" s="340"/>
      <c r="Q870" s="275">
        <f t="shared" si="50"/>
        <v>0.83300000000000063</v>
      </c>
      <c r="R870" s="276">
        <f t="shared" si="52"/>
        <v>0.875</v>
      </c>
    </row>
    <row r="871" spans="15:18">
      <c r="O871" s="340"/>
      <c r="Q871" s="275">
        <f t="shared" ref="Q871:Q934" si="53">Q870+0.001</f>
        <v>0.83400000000000063</v>
      </c>
      <c r="R871" s="276">
        <f t="shared" si="52"/>
        <v>0.875</v>
      </c>
    </row>
    <row r="872" spans="15:18">
      <c r="O872" s="340"/>
      <c r="Q872" s="275">
        <f t="shared" si="53"/>
        <v>0.83500000000000063</v>
      </c>
      <c r="R872" s="276">
        <f t="shared" si="52"/>
        <v>0.875</v>
      </c>
    </row>
    <row r="873" spans="15:18">
      <c r="O873" s="340"/>
      <c r="Q873" s="275">
        <f t="shared" si="53"/>
        <v>0.83600000000000063</v>
      </c>
      <c r="R873" s="276">
        <f t="shared" si="52"/>
        <v>0.875</v>
      </c>
    </row>
    <row r="874" spans="15:18">
      <c r="O874" s="340"/>
      <c r="Q874" s="275">
        <f t="shared" si="53"/>
        <v>0.83700000000000063</v>
      </c>
      <c r="R874" s="276">
        <f t="shared" si="52"/>
        <v>0.875</v>
      </c>
    </row>
    <row r="875" spans="15:18">
      <c r="O875" s="340"/>
      <c r="Q875" s="275">
        <f t="shared" si="53"/>
        <v>0.83800000000000063</v>
      </c>
      <c r="R875" s="276">
        <f t="shared" si="52"/>
        <v>0.875</v>
      </c>
    </row>
    <row r="876" spans="15:18">
      <c r="O876" s="340"/>
      <c r="Q876" s="275">
        <f t="shared" si="53"/>
        <v>0.83900000000000063</v>
      </c>
      <c r="R876" s="276">
        <f t="shared" si="52"/>
        <v>0.875</v>
      </c>
    </row>
    <row r="877" spans="15:18">
      <c r="O877" s="340"/>
      <c r="Q877" s="275">
        <f t="shared" si="53"/>
        <v>0.84000000000000064</v>
      </c>
      <c r="R877" s="276">
        <f t="shared" si="52"/>
        <v>0.875</v>
      </c>
    </row>
    <row r="878" spans="15:18">
      <c r="O878" s="340"/>
      <c r="Q878" s="275">
        <f t="shared" si="53"/>
        <v>0.84100000000000064</v>
      </c>
      <c r="R878" s="276">
        <f t="shared" si="52"/>
        <v>0.875</v>
      </c>
    </row>
    <row r="879" spans="15:18">
      <c r="O879" s="340"/>
      <c r="Q879" s="275">
        <f t="shared" si="53"/>
        <v>0.84200000000000064</v>
      </c>
      <c r="R879" s="276">
        <f t="shared" si="52"/>
        <v>0.875</v>
      </c>
    </row>
    <row r="880" spans="15:18">
      <c r="O880" s="340"/>
      <c r="Q880" s="275">
        <f t="shared" si="53"/>
        <v>0.84300000000000064</v>
      </c>
      <c r="R880" s="276">
        <f t="shared" si="52"/>
        <v>0.875</v>
      </c>
    </row>
    <row r="881" spans="15:18">
      <c r="O881" s="340"/>
      <c r="Q881" s="275">
        <f t="shared" si="53"/>
        <v>0.84400000000000064</v>
      </c>
      <c r="R881" s="276">
        <f t="shared" si="52"/>
        <v>0.875</v>
      </c>
    </row>
    <row r="882" spans="15:18">
      <c r="O882" s="340"/>
      <c r="Q882" s="275">
        <f t="shared" si="53"/>
        <v>0.84500000000000064</v>
      </c>
      <c r="R882" s="276">
        <f t="shared" si="52"/>
        <v>0.875</v>
      </c>
    </row>
    <row r="883" spans="15:18">
      <c r="O883" s="340"/>
      <c r="Q883" s="275">
        <f t="shared" si="53"/>
        <v>0.84600000000000064</v>
      </c>
      <c r="R883" s="276">
        <f t="shared" si="52"/>
        <v>0.875</v>
      </c>
    </row>
    <row r="884" spans="15:18">
      <c r="O884" s="340"/>
      <c r="Q884" s="275">
        <f t="shared" si="53"/>
        <v>0.84700000000000064</v>
      </c>
      <c r="R884" s="276">
        <f t="shared" ref="R884:R912" si="54">7/8</f>
        <v>0.875</v>
      </c>
    </row>
    <row r="885" spans="15:18">
      <c r="O885" s="340"/>
      <c r="Q885" s="275">
        <f t="shared" si="53"/>
        <v>0.84800000000000064</v>
      </c>
      <c r="R885" s="276">
        <f t="shared" si="54"/>
        <v>0.875</v>
      </c>
    </row>
    <row r="886" spans="15:18">
      <c r="O886" s="340"/>
      <c r="Q886" s="275">
        <f t="shared" si="53"/>
        <v>0.84900000000000064</v>
      </c>
      <c r="R886" s="276">
        <f t="shared" si="54"/>
        <v>0.875</v>
      </c>
    </row>
    <row r="887" spans="15:18">
      <c r="O887" s="340"/>
      <c r="Q887" s="275">
        <f t="shared" si="53"/>
        <v>0.85000000000000064</v>
      </c>
      <c r="R887" s="276">
        <f t="shared" si="54"/>
        <v>0.875</v>
      </c>
    </row>
    <row r="888" spans="15:18">
      <c r="O888" s="340"/>
      <c r="Q888" s="275">
        <f t="shared" si="53"/>
        <v>0.85100000000000064</v>
      </c>
      <c r="R888" s="276">
        <f t="shared" si="54"/>
        <v>0.875</v>
      </c>
    </row>
    <row r="889" spans="15:18">
      <c r="O889" s="340"/>
      <c r="Q889" s="275">
        <f t="shared" si="53"/>
        <v>0.85200000000000065</v>
      </c>
      <c r="R889" s="276">
        <f t="shared" si="54"/>
        <v>0.875</v>
      </c>
    </row>
    <row r="890" spans="15:18">
      <c r="O890" s="340"/>
      <c r="Q890" s="275">
        <f t="shared" si="53"/>
        <v>0.85300000000000065</v>
      </c>
      <c r="R890" s="276">
        <f t="shared" si="54"/>
        <v>0.875</v>
      </c>
    </row>
    <row r="891" spans="15:18">
      <c r="O891" s="340"/>
      <c r="Q891" s="275">
        <f t="shared" si="53"/>
        <v>0.85400000000000065</v>
      </c>
      <c r="R891" s="276">
        <f t="shared" si="54"/>
        <v>0.875</v>
      </c>
    </row>
    <row r="892" spans="15:18">
      <c r="O892" s="340"/>
      <c r="Q892" s="275">
        <f t="shared" si="53"/>
        <v>0.85500000000000065</v>
      </c>
      <c r="R892" s="276">
        <f t="shared" si="54"/>
        <v>0.875</v>
      </c>
    </row>
    <row r="893" spans="15:18">
      <c r="O893" s="340"/>
      <c r="Q893" s="275">
        <f t="shared" si="53"/>
        <v>0.85600000000000065</v>
      </c>
      <c r="R893" s="276">
        <f t="shared" si="54"/>
        <v>0.875</v>
      </c>
    </row>
    <row r="894" spans="15:18">
      <c r="O894" s="340"/>
      <c r="Q894" s="275">
        <f t="shared" si="53"/>
        <v>0.85700000000000065</v>
      </c>
      <c r="R894" s="276">
        <f t="shared" si="54"/>
        <v>0.875</v>
      </c>
    </row>
    <row r="895" spans="15:18">
      <c r="O895" s="340"/>
      <c r="Q895" s="275">
        <f t="shared" si="53"/>
        <v>0.85800000000000065</v>
      </c>
      <c r="R895" s="276">
        <f t="shared" si="54"/>
        <v>0.875</v>
      </c>
    </row>
    <row r="896" spans="15:18">
      <c r="O896" s="340"/>
      <c r="Q896" s="275">
        <f t="shared" si="53"/>
        <v>0.85900000000000065</v>
      </c>
      <c r="R896" s="276">
        <f t="shared" si="54"/>
        <v>0.875</v>
      </c>
    </row>
    <row r="897" spans="15:18">
      <c r="O897" s="340"/>
      <c r="Q897" s="275">
        <f t="shared" si="53"/>
        <v>0.86000000000000065</v>
      </c>
      <c r="R897" s="276">
        <f t="shared" si="54"/>
        <v>0.875</v>
      </c>
    </row>
    <row r="898" spans="15:18">
      <c r="O898" s="340"/>
      <c r="Q898" s="275">
        <f t="shared" si="53"/>
        <v>0.86100000000000065</v>
      </c>
      <c r="R898" s="276">
        <f t="shared" si="54"/>
        <v>0.875</v>
      </c>
    </row>
    <row r="899" spans="15:18">
      <c r="O899" s="340"/>
      <c r="Q899" s="275">
        <f t="shared" si="53"/>
        <v>0.86200000000000065</v>
      </c>
      <c r="R899" s="276">
        <f t="shared" si="54"/>
        <v>0.875</v>
      </c>
    </row>
    <row r="900" spans="15:18">
      <c r="O900" s="340"/>
      <c r="Q900" s="275">
        <f t="shared" si="53"/>
        <v>0.86300000000000066</v>
      </c>
      <c r="R900" s="276">
        <f t="shared" si="54"/>
        <v>0.875</v>
      </c>
    </row>
    <row r="901" spans="15:18">
      <c r="O901" s="340"/>
      <c r="Q901" s="275">
        <f t="shared" si="53"/>
        <v>0.86400000000000066</v>
      </c>
      <c r="R901" s="276">
        <f t="shared" si="54"/>
        <v>0.875</v>
      </c>
    </row>
    <row r="902" spans="15:18">
      <c r="O902" s="340"/>
      <c r="Q902" s="275">
        <f t="shared" si="53"/>
        <v>0.86500000000000066</v>
      </c>
      <c r="R902" s="276">
        <f t="shared" si="54"/>
        <v>0.875</v>
      </c>
    </row>
    <row r="903" spans="15:18">
      <c r="O903" s="340"/>
      <c r="Q903" s="275">
        <f t="shared" si="53"/>
        <v>0.86600000000000066</v>
      </c>
      <c r="R903" s="276">
        <f t="shared" si="54"/>
        <v>0.875</v>
      </c>
    </row>
    <row r="904" spans="15:18">
      <c r="O904" s="340"/>
      <c r="Q904" s="275">
        <f t="shared" si="53"/>
        <v>0.86700000000000066</v>
      </c>
      <c r="R904" s="276">
        <f t="shared" si="54"/>
        <v>0.875</v>
      </c>
    </row>
    <row r="905" spans="15:18">
      <c r="O905" s="340"/>
      <c r="Q905" s="275">
        <f t="shared" si="53"/>
        <v>0.86800000000000066</v>
      </c>
      <c r="R905" s="276">
        <f t="shared" si="54"/>
        <v>0.875</v>
      </c>
    </row>
    <row r="906" spans="15:18">
      <c r="O906" s="340"/>
      <c r="Q906" s="275">
        <f t="shared" si="53"/>
        <v>0.86900000000000066</v>
      </c>
      <c r="R906" s="276">
        <f t="shared" si="54"/>
        <v>0.875</v>
      </c>
    </row>
    <row r="907" spans="15:18">
      <c r="O907" s="340"/>
      <c r="Q907" s="275">
        <f t="shared" si="53"/>
        <v>0.87000000000000066</v>
      </c>
      <c r="R907" s="276">
        <f t="shared" si="54"/>
        <v>0.875</v>
      </c>
    </row>
    <row r="908" spans="15:18">
      <c r="O908" s="340"/>
      <c r="Q908" s="275">
        <f t="shared" si="53"/>
        <v>0.87100000000000066</v>
      </c>
      <c r="R908" s="276">
        <f t="shared" si="54"/>
        <v>0.875</v>
      </c>
    </row>
    <row r="909" spans="15:18">
      <c r="O909" s="340"/>
      <c r="Q909" s="275">
        <f t="shared" si="53"/>
        <v>0.87200000000000066</v>
      </c>
      <c r="R909" s="276">
        <f t="shared" si="54"/>
        <v>0.875</v>
      </c>
    </row>
    <row r="910" spans="15:18">
      <c r="O910" s="340"/>
      <c r="Q910" s="275">
        <f t="shared" si="53"/>
        <v>0.87300000000000066</v>
      </c>
      <c r="R910" s="276">
        <f t="shared" si="54"/>
        <v>0.875</v>
      </c>
    </row>
    <row r="911" spans="15:18">
      <c r="O911" s="340"/>
      <c r="Q911" s="275">
        <f t="shared" si="53"/>
        <v>0.87400000000000067</v>
      </c>
      <c r="R911" s="276">
        <f t="shared" si="54"/>
        <v>0.875</v>
      </c>
    </row>
    <row r="912" spans="15:18">
      <c r="O912" s="340"/>
      <c r="Q912" s="275">
        <f t="shared" si="53"/>
        <v>0.87500000000000067</v>
      </c>
      <c r="R912" s="276">
        <f t="shared" si="54"/>
        <v>0.875</v>
      </c>
    </row>
    <row r="913" spans="15:18">
      <c r="O913" s="340"/>
      <c r="Q913" s="275">
        <f t="shared" si="53"/>
        <v>0.87600000000000067</v>
      </c>
      <c r="R913" s="257">
        <v>1</v>
      </c>
    </row>
    <row r="914" spans="15:18">
      <c r="O914" s="340"/>
      <c r="Q914" s="275">
        <f t="shared" si="53"/>
        <v>0.87700000000000067</v>
      </c>
      <c r="R914" s="257">
        <v>1</v>
      </c>
    </row>
    <row r="915" spans="15:18">
      <c r="O915" s="340"/>
      <c r="Q915" s="275">
        <f t="shared" si="53"/>
        <v>0.87800000000000067</v>
      </c>
      <c r="R915" s="257">
        <v>1</v>
      </c>
    </row>
    <row r="916" spans="15:18">
      <c r="O916" s="340"/>
      <c r="Q916" s="275">
        <f t="shared" si="53"/>
        <v>0.87900000000000067</v>
      </c>
      <c r="R916" s="257">
        <v>1</v>
      </c>
    </row>
    <row r="917" spans="15:18">
      <c r="Q917" s="275">
        <f t="shared" si="53"/>
        <v>0.88000000000000067</v>
      </c>
      <c r="R917" s="257">
        <v>1</v>
      </c>
    </row>
    <row r="918" spans="15:18">
      <c r="Q918" s="275">
        <f t="shared" si="53"/>
        <v>0.88100000000000067</v>
      </c>
      <c r="R918" s="257">
        <v>1</v>
      </c>
    </row>
    <row r="919" spans="15:18">
      <c r="Q919" s="275">
        <f t="shared" si="53"/>
        <v>0.88200000000000067</v>
      </c>
      <c r="R919" s="257">
        <v>1</v>
      </c>
    </row>
    <row r="920" spans="15:18">
      <c r="Q920" s="275">
        <f t="shared" si="53"/>
        <v>0.88300000000000067</v>
      </c>
      <c r="R920" s="257">
        <v>1</v>
      </c>
    </row>
    <row r="921" spans="15:18">
      <c r="Q921" s="275">
        <f t="shared" si="53"/>
        <v>0.88400000000000067</v>
      </c>
      <c r="R921" s="257">
        <v>1</v>
      </c>
    </row>
    <row r="922" spans="15:18">
      <c r="Q922" s="275">
        <f t="shared" si="53"/>
        <v>0.88500000000000068</v>
      </c>
      <c r="R922" s="257">
        <v>1</v>
      </c>
    </row>
    <row r="923" spans="15:18">
      <c r="Q923" s="275">
        <f t="shared" si="53"/>
        <v>0.88600000000000068</v>
      </c>
      <c r="R923" s="257">
        <v>1</v>
      </c>
    </row>
    <row r="924" spans="15:18">
      <c r="Q924" s="275">
        <f t="shared" si="53"/>
        <v>0.88700000000000068</v>
      </c>
      <c r="R924" s="257">
        <v>1</v>
      </c>
    </row>
    <row r="925" spans="15:18">
      <c r="Q925" s="275">
        <f t="shared" si="53"/>
        <v>0.88800000000000068</v>
      </c>
      <c r="R925" s="257">
        <v>1</v>
      </c>
    </row>
    <row r="926" spans="15:18">
      <c r="Q926" s="275">
        <f t="shared" si="53"/>
        <v>0.88900000000000068</v>
      </c>
      <c r="R926" s="257">
        <v>1</v>
      </c>
    </row>
    <row r="927" spans="15:18">
      <c r="Q927" s="275">
        <f t="shared" si="53"/>
        <v>0.89000000000000068</v>
      </c>
      <c r="R927" s="257">
        <v>1</v>
      </c>
    </row>
    <row r="928" spans="15:18">
      <c r="Q928" s="275">
        <f t="shared" si="53"/>
        <v>0.89100000000000068</v>
      </c>
      <c r="R928" s="257">
        <v>1</v>
      </c>
    </row>
    <row r="929" spans="17:18">
      <c r="Q929" s="275">
        <f t="shared" si="53"/>
        <v>0.89200000000000068</v>
      </c>
      <c r="R929" s="257">
        <v>1</v>
      </c>
    </row>
    <row r="930" spans="17:18">
      <c r="Q930" s="275">
        <f t="shared" si="53"/>
        <v>0.89300000000000068</v>
      </c>
      <c r="R930" s="257">
        <v>1</v>
      </c>
    </row>
    <row r="931" spans="17:18">
      <c r="Q931" s="275">
        <f t="shared" si="53"/>
        <v>0.89400000000000068</v>
      </c>
      <c r="R931" s="257">
        <v>1</v>
      </c>
    </row>
    <row r="932" spans="17:18">
      <c r="Q932" s="275">
        <f t="shared" si="53"/>
        <v>0.89500000000000068</v>
      </c>
      <c r="R932" s="257">
        <v>1</v>
      </c>
    </row>
    <row r="933" spans="17:18">
      <c r="Q933" s="275">
        <f t="shared" si="53"/>
        <v>0.89600000000000068</v>
      </c>
      <c r="R933" s="257">
        <v>1</v>
      </c>
    </row>
    <row r="934" spans="17:18">
      <c r="Q934" s="275">
        <f t="shared" si="53"/>
        <v>0.89700000000000069</v>
      </c>
      <c r="R934" s="257">
        <v>1</v>
      </c>
    </row>
    <row r="935" spans="17:18">
      <c r="Q935" s="275">
        <f t="shared" ref="Q935:Q998" si="55">Q934+0.001</f>
        <v>0.89800000000000069</v>
      </c>
      <c r="R935" s="257">
        <v>1</v>
      </c>
    </row>
    <row r="936" spans="17:18">
      <c r="Q936" s="275">
        <f t="shared" si="55"/>
        <v>0.89900000000000069</v>
      </c>
      <c r="R936" s="257">
        <v>1</v>
      </c>
    </row>
    <row r="937" spans="17:18">
      <c r="Q937" s="275">
        <f t="shared" si="55"/>
        <v>0.90000000000000069</v>
      </c>
      <c r="R937" s="257">
        <v>1</v>
      </c>
    </row>
    <row r="938" spans="17:18">
      <c r="Q938" s="275">
        <f t="shared" si="55"/>
        <v>0.90100000000000069</v>
      </c>
      <c r="R938" s="257">
        <v>1</v>
      </c>
    </row>
    <row r="939" spans="17:18">
      <c r="Q939" s="275">
        <f t="shared" si="55"/>
        <v>0.90200000000000069</v>
      </c>
      <c r="R939" s="257">
        <v>1</v>
      </c>
    </row>
    <row r="940" spans="17:18">
      <c r="Q940" s="275">
        <f t="shared" si="55"/>
        <v>0.90300000000000069</v>
      </c>
      <c r="R940" s="257">
        <v>1</v>
      </c>
    </row>
    <row r="941" spans="17:18">
      <c r="Q941" s="275">
        <f t="shared" si="55"/>
        <v>0.90400000000000069</v>
      </c>
      <c r="R941" s="257">
        <v>1</v>
      </c>
    </row>
    <row r="942" spans="17:18">
      <c r="Q942" s="275">
        <f t="shared" si="55"/>
        <v>0.90500000000000069</v>
      </c>
      <c r="R942" s="257">
        <v>1</v>
      </c>
    </row>
    <row r="943" spans="17:18">
      <c r="Q943" s="275">
        <f t="shared" si="55"/>
        <v>0.90600000000000069</v>
      </c>
      <c r="R943" s="257">
        <v>1</v>
      </c>
    </row>
    <row r="944" spans="17:18">
      <c r="Q944" s="275">
        <f t="shared" si="55"/>
        <v>0.90700000000000069</v>
      </c>
      <c r="R944" s="257">
        <v>1</v>
      </c>
    </row>
    <row r="945" spans="17:18">
      <c r="Q945" s="275">
        <f t="shared" si="55"/>
        <v>0.9080000000000007</v>
      </c>
      <c r="R945" s="257">
        <v>1</v>
      </c>
    </row>
    <row r="946" spans="17:18">
      <c r="Q946" s="275">
        <f t="shared" si="55"/>
        <v>0.9090000000000007</v>
      </c>
      <c r="R946" s="257">
        <v>1</v>
      </c>
    </row>
    <row r="947" spans="17:18">
      <c r="Q947" s="275">
        <f t="shared" si="55"/>
        <v>0.9100000000000007</v>
      </c>
      <c r="R947" s="257">
        <v>1</v>
      </c>
    </row>
    <row r="948" spans="17:18">
      <c r="Q948" s="275">
        <f t="shared" si="55"/>
        <v>0.9110000000000007</v>
      </c>
      <c r="R948" s="257">
        <v>1</v>
      </c>
    </row>
    <row r="949" spans="17:18">
      <c r="Q949" s="275">
        <f t="shared" si="55"/>
        <v>0.9120000000000007</v>
      </c>
      <c r="R949" s="257">
        <v>1</v>
      </c>
    </row>
    <row r="950" spans="17:18">
      <c r="Q950" s="275">
        <f t="shared" si="55"/>
        <v>0.9130000000000007</v>
      </c>
      <c r="R950" s="257">
        <v>1</v>
      </c>
    </row>
    <row r="951" spans="17:18">
      <c r="Q951" s="275">
        <f t="shared" si="55"/>
        <v>0.9140000000000007</v>
      </c>
      <c r="R951" s="257">
        <v>1</v>
      </c>
    </row>
    <row r="952" spans="17:18">
      <c r="Q952" s="275">
        <f t="shared" si="55"/>
        <v>0.9150000000000007</v>
      </c>
      <c r="R952" s="257">
        <v>1</v>
      </c>
    </row>
    <row r="953" spans="17:18">
      <c r="Q953" s="275">
        <f t="shared" si="55"/>
        <v>0.9160000000000007</v>
      </c>
      <c r="R953" s="257">
        <v>1</v>
      </c>
    </row>
    <row r="954" spans="17:18">
      <c r="Q954" s="275">
        <f t="shared" si="55"/>
        <v>0.9170000000000007</v>
      </c>
      <c r="R954" s="257">
        <v>1</v>
      </c>
    </row>
    <row r="955" spans="17:18">
      <c r="Q955" s="275">
        <f t="shared" si="55"/>
        <v>0.9180000000000007</v>
      </c>
      <c r="R955" s="257">
        <v>1</v>
      </c>
    </row>
    <row r="956" spans="17:18">
      <c r="Q956" s="275">
        <f t="shared" si="55"/>
        <v>0.91900000000000071</v>
      </c>
      <c r="R956" s="257">
        <v>1</v>
      </c>
    </row>
    <row r="957" spans="17:18">
      <c r="Q957" s="275">
        <f t="shared" si="55"/>
        <v>0.92000000000000071</v>
      </c>
      <c r="R957" s="257">
        <v>1</v>
      </c>
    </row>
    <row r="958" spans="17:18">
      <c r="Q958" s="275">
        <f t="shared" si="55"/>
        <v>0.92100000000000071</v>
      </c>
      <c r="R958" s="257">
        <v>1</v>
      </c>
    </row>
    <row r="959" spans="17:18">
      <c r="Q959" s="275">
        <f t="shared" si="55"/>
        <v>0.92200000000000071</v>
      </c>
      <c r="R959" s="257">
        <v>1</v>
      </c>
    </row>
    <row r="960" spans="17:18">
      <c r="Q960" s="275">
        <f t="shared" si="55"/>
        <v>0.92300000000000071</v>
      </c>
      <c r="R960" s="257">
        <v>1</v>
      </c>
    </row>
    <row r="961" spans="17:18">
      <c r="Q961" s="275">
        <f t="shared" si="55"/>
        <v>0.92400000000000071</v>
      </c>
      <c r="R961" s="257">
        <v>1</v>
      </c>
    </row>
    <row r="962" spans="17:18">
      <c r="Q962" s="275">
        <f t="shared" si="55"/>
        <v>0.92500000000000071</v>
      </c>
      <c r="R962" s="257">
        <v>1</v>
      </c>
    </row>
    <row r="963" spans="17:18">
      <c r="Q963" s="275">
        <f t="shared" si="55"/>
        <v>0.92600000000000071</v>
      </c>
      <c r="R963" s="257">
        <v>1</v>
      </c>
    </row>
    <row r="964" spans="17:18">
      <c r="Q964" s="275">
        <f t="shared" si="55"/>
        <v>0.92700000000000071</v>
      </c>
      <c r="R964" s="257">
        <v>1</v>
      </c>
    </row>
    <row r="965" spans="17:18">
      <c r="Q965" s="275">
        <f t="shared" si="55"/>
        <v>0.92800000000000071</v>
      </c>
      <c r="R965" s="257">
        <v>1</v>
      </c>
    </row>
    <row r="966" spans="17:18">
      <c r="Q966" s="275">
        <f t="shared" si="55"/>
        <v>0.92900000000000071</v>
      </c>
      <c r="R966" s="257">
        <v>1</v>
      </c>
    </row>
    <row r="967" spans="17:18">
      <c r="Q967" s="275">
        <f t="shared" si="55"/>
        <v>0.93000000000000071</v>
      </c>
      <c r="R967" s="257">
        <v>1</v>
      </c>
    </row>
    <row r="968" spans="17:18">
      <c r="Q968" s="275">
        <f t="shared" si="55"/>
        <v>0.93100000000000072</v>
      </c>
      <c r="R968" s="257">
        <v>1</v>
      </c>
    </row>
    <row r="969" spans="17:18">
      <c r="Q969" s="275">
        <f t="shared" si="55"/>
        <v>0.93200000000000072</v>
      </c>
      <c r="R969" s="257">
        <v>1</v>
      </c>
    </row>
    <row r="970" spans="17:18">
      <c r="Q970" s="275">
        <f t="shared" si="55"/>
        <v>0.93300000000000072</v>
      </c>
      <c r="R970" s="257">
        <v>1</v>
      </c>
    </row>
    <row r="971" spans="17:18">
      <c r="Q971" s="275">
        <f t="shared" si="55"/>
        <v>0.93400000000000072</v>
      </c>
      <c r="R971" s="257">
        <v>1</v>
      </c>
    </row>
    <row r="972" spans="17:18">
      <c r="Q972" s="275">
        <f t="shared" si="55"/>
        <v>0.93500000000000072</v>
      </c>
      <c r="R972" s="257">
        <v>1</v>
      </c>
    </row>
    <row r="973" spans="17:18">
      <c r="Q973" s="275">
        <f t="shared" si="55"/>
        <v>0.93600000000000072</v>
      </c>
      <c r="R973" s="257">
        <v>1</v>
      </c>
    </row>
    <row r="974" spans="17:18">
      <c r="Q974" s="275">
        <f t="shared" si="55"/>
        <v>0.93700000000000072</v>
      </c>
      <c r="R974" s="257">
        <v>1</v>
      </c>
    </row>
    <row r="975" spans="17:18">
      <c r="Q975" s="275">
        <f t="shared" si="55"/>
        <v>0.93800000000000072</v>
      </c>
      <c r="R975" s="257">
        <v>1</v>
      </c>
    </row>
    <row r="976" spans="17:18">
      <c r="Q976" s="275">
        <f t="shared" si="55"/>
        <v>0.93900000000000072</v>
      </c>
      <c r="R976" s="257">
        <v>1</v>
      </c>
    </row>
    <row r="977" spans="17:18">
      <c r="Q977" s="275">
        <f t="shared" si="55"/>
        <v>0.94000000000000072</v>
      </c>
      <c r="R977" s="257">
        <v>1</v>
      </c>
    </row>
    <row r="978" spans="17:18">
      <c r="Q978" s="275">
        <f t="shared" si="55"/>
        <v>0.94100000000000072</v>
      </c>
      <c r="R978" s="257">
        <v>1</v>
      </c>
    </row>
    <row r="979" spans="17:18">
      <c r="Q979" s="275">
        <f t="shared" si="55"/>
        <v>0.94200000000000073</v>
      </c>
      <c r="R979" s="257">
        <v>1</v>
      </c>
    </row>
    <row r="980" spans="17:18">
      <c r="Q980" s="275">
        <f t="shared" si="55"/>
        <v>0.94300000000000073</v>
      </c>
      <c r="R980" s="257">
        <v>1</v>
      </c>
    </row>
    <row r="981" spans="17:18">
      <c r="Q981" s="275">
        <f t="shared" si="55"/>
        <v>0.94400000000000073</v>
      </c>
      <c r="R981" s="257">
        <v>1</v>
      </c>
    </row>
    <row r="982" spans="17:18">
      <c r="Q982" s="275">
        <f t="shared" si="55"/>
        <v>0.94500000000000073</v>
      </c>
      <c r="R982" s="257">
        <v>1</v>
      </c>
    </row>
    <row r="983" spans="17:18">
      <c r="Q983" s="275">
        <f t="shared" si="55"/>
        <v>0.94600000000000073</v>
      </c>
      <c r="R983" s="257">
        <v>1</v>
      </c>
    </row>
    <row r="984" spans="17:18">
      <c r="Q984" s="275">
        <f t="shared" si="55"/>
        <v>0.94700000000000073</v>
      </c>
      <c r="R984" s="257">
        <v>1</v>
      </c>
    </row>
    <row r="985" spans="17:18">
      <c r="Q985" s="275">
        <f t="shared" si="55"/>
        <v>0.94800000000000073</v>
      </c>
      <c r="R985" s="257">
        <v>1</v>
      </c>
    </row>
    <row r="986" spans="17:18">
      <c r="Q986" s="275">
        <f t="shared" si="55"/>
        <v>0.94900000000000073</v>
      </c>
      <c r="R986" s="257">
        <v>1</v>
      </c>
    </row>
    <row r="987" spans="17:18">
      <c r="Q987" s="275">
        <f t="shared" si="55"/>
        <v>0.95000000000000073</v>
      </c>
      <c r="R987" s="257">
        <v>1</v>
      </c>
    </row>
    <row r="988" spans="17:18">
      <c r="Q988" s="275">
        <f t="shared" si="55"/>
        <v>0.95100000000000073</v>
      </c>
      <c r="R988" s="257">
        <v>1</v>
      </c>
    </row>
    <row r="989" spans="17:18">
      <c r="Q989" s="275">
        <f t="shared" si="55"/>
        <v>0.95200000000000073</v>
      </c>
      <c r="R989" s="257">
        <v>1</v>
      </c>
    </row>
    <row r="990" spans="17:18">
      <c r="Q990" s="275">
        <f t="shared" si="55"/>
        <v>0.95300000000000074</v>
      </c>
      <c r="R990" s="257">
        <v>1</v>
      </c>
    </row>
    <row r="991" spans="17:18">
      <c r="Q991" s="275">
        <f t="shared" si="55"/>
        <v>0.95400000000000074</v>
      </c>
      <c r="R991" s="257">
        <v>1</v>
      </c>
    </row>
    <row r="992" spans="17:18">
      <c r="Q992" s="275">
        <f t="shared" si="55"/>
        <v>0.95500000000000074</v>
      </c>
      <c r="R992" s="257">
        <v>1</v>
      </c>
    </row>
    <row r="993" spans="17:18">
      <c r="Q993" s="275">
        <f t="shared" si="55"/>
        <v>0.95600000000000074</v>
      </c>
      <c r="R993" s="257">
        <v>1</v>
      </c>
    </row>
    <row r="994" spans="17:18">
      <c r="Q994" s="275">
        <f t="shared" si="55"/>
        <v>0.95700000000000074</v>
      </c>
      <c r="R994" s="257">
        <v>1</v>
      </c>
    </row>
    <row r="995" spans="17:18">
      <c r="Q995" s="275">
        <f t="shared" si="55"/>
        <v>0.95800000000000074</v>
      </c>
      <c r="R995" s="257">
        <v>1</v>
      </c>
    </row>
    <row r="996" spans="17:18">
      <c r="Q996" s="275">
        <f t="shared" si="55"/>
        <v>0.95900000000000074</v>
      </c>
      <c r="R996" s="257">
        <v>1</v>
      </c>
    </row>
    <row r="997" spans="17:18">
      <c r="Q997" s="275">
        <f t="shared" si="55"/>
        <v>0.96000000000000074</v>
      </c>
      <c r="R997" s="257">
        <v>1</v>
      </c>
    </row>
    <row r="998" spans="17:18">
      <c r="Q998" s="275">
        <f t="shared" si="55"/>
        <v>0.96100000000000074</v>
      </c>
      <c r="R998" s="257">
        <v>1</v>
      </c>
    </row>
    <row r="999" spans="17:18">
      <c r="Q999" s="275">
        <f t="shared" ref="Q999:Q1062" si="56">Q998+0.001</f>
        <v>0.96200000000000074</v>
      </c>
      <c r="R999" s="257">
        <v>1</v>
      </c>
    </row>
    <row r="1000" spans="17:18">
      <c r="Q1000" s="275">
        <f t="shared" si="56"/>
        <v>0.96300000000000074</v>
      </c>
      <c r="R1000" s="257">
        <v>1</v>
      </c>
    </row>
    <row r="1001" spans="17:18">
      <c r="Q1001" s="275">
        <f t="shared" si="56"/>
        <v>0.96400000000000075</v>
      </c>
      <c r="R1001" s="257">
        <v>1</v>
      </c>
    </row>
    <row r="1002" spans="17:18">
      <c r="Q1002" s="275">
        <f t="shared" si="56"/>
        <v>0.96500000000000075</v>
      </c>
      <c r="R1002" s="257">
        <v>1</v>
      </c>
    </row>
    <row r="1003" spans="17:18">
      <c r="Q1003" s="275">
        <f t="shared" si="56"/>
        <v>0.96600000000000075</v>
      </c>
      <c r="R1003" s="257">
        <v>1</v>
      </c>
    </row>
    <row r="1004" spans="17:18">
      <c r="Q1004" s="275">
        <f t="shared" si="56"/>
        <v>0.96700000000000075</v>
      </c>
      <c r="R1004" s="257">
        <v>1</v>
      </c>
    </row>
    <row r="1005" spans="17:18">
      <c r="Q1005" s="275">
        <f t="shared" si="56"/>
        <v>0.96800000000000075</v>
      </c>
      <c r="R1005" s="257">
        <v>1</v>
      </c>
    </row>
    <row r="1006" spans="17:18">
      <c r="Q1006" s="275">
        <f t="shared" si="56"/>
        <v>0.96900000000000075</v>
      </c>
      <c r="R1006" s="257">
        <v>1</v>
      </c>
    </row>
    <row r="1007" spans="17:18">
      <c r="Q1007" s="275">
        <f t="shared" si="56"/>
        <v>0.97000000000000075</v>
      </c>
      <c r="R1007" s="257">
        <v>1</v>
      </c>
    </row>
    <row r="1008" spans="17:18">
      <c r="Q1008" s="275">
        <f t="shared" si="56"/>
        <v>0.97100000000000075</v>
      </c>
      <c r="R1008" s="257">
        <v>1</v>
      </c>
    </row>
    <row r="1009" spans="17:18">
      <c r="Q1009" s="275">
        <f t="shared" si="56"/>
        <v>0.97200000000000075</v>
      </c>
      <c r="R1009" s="257">
        <v>1</v>
      </c>
    </row>
    <row r="1010" spans="17:18">
      <c r="Q1010" s="275">
        <f t="shared" si="56"/>
        <v>0.97300000000000075</v>
      </c>
      <c r="R1010" s="257">
        <v>1</v>
      </c>
    </row>
    <row r="1011" spans="17:18">
      <c r="Q1011" s="275">
        <f t="shared" si="56"/>
        <v>0.97400000000000075</v>
      </c>
      <c r="R1011" s="257">
        <v>1</v>
      </c>
    </row>
    <row r="1012" spans="17:18">
      <c r="Q1012" s="275">
        <f t="shared" si="56"/>
        <v>0.97500000000000075</v>
      </c>
      <c r="R1012" s="257">
        <v>1</v>
      </c>
    </row>
    <row r="1013" spans="17:18">
      <c r="Q1013" s="275">
        <f t="shared" si="56"/>
        <v>0.97600000000000076</v>
      </c>
      <c r="R1013" s="257">
        <v>1</v>
      </c>
    </row>
    <row r="1014" spans="17:18">
      <c r="Q1014" s="275">
        <f t="shared" si="56"/>
        <v>0.97700000000000076</v>
      </c>
      <c r="R1014" s="257">
        <v>1</v>
      </c>
    </row>
    <row r="1015" spans="17:18">
      <c r="Q1015" s="275">
        <f t="shared" si="56"/>
        <v>0.97800000000000076</v>
      </c>
      <c r="R1015" s="257">
        <v>1</v>
      </c>
    </row>
    <row r="1016" spans="17:18">
      <c r="Q1016" s="275">
        <f t="shared" si="56"/>
        <v>0.97900000000000076</v>
      </c>
      <c r="R1016" s="257">
        <v>1</v>
      </c>
    </row>
    <row r="1017" spans="17:18">
      <c r="Q1017" s="275">
        <f t="shared" si="56"/>
        <v>0.98000000000000076</v>
      </c>
      <c r="R1017" s="257">
        <v>1</v>
      </c>
    </row>
    <row r="1018" spans="17:18">
      <c r="Q1018" s="275">
        <f t="shared" si="56"/>
        <v>0.98100000000000076</v>
      </c>
      <c r="R1018" s="257">
        <v>1</v>
      </c>
    </row>
    <row r="1019" spans="17:18">
      <c r="Q1019" s="275">
        <f t="shared" si="56"/>
        <v>0.98200000000000076</v>
      </c>
      <c r="R1019" s="257">
        <v>1</v>
      </c>
    </row>
    <row r="1020" spans="17:18">
      <c r="Q1020" s="275">
        <f t="shared" si="56"/>
        <v>0.98300000000000076</v>
      </c>
      <c r="R1020" s="257">
        <v>1</v>
      </c>
    </row>
    <row r="1021" spans="17:18">
      <c r="Q1021" s="275">
        <f t="shared" si="56"/>
        <v>0.98400000000000076</v>
      </c>
      <c r="R1021" s="257">
        <v>1</v>
      </c>
    </row>
    <row r="1022" spans="17:18">
      <c r="Q1022" s="275">
        <f t="shared" si="56"/>
        <v>0.98500000000000076</v>
      </c>
      <c r="R1022" s="257">
        <v>1</v>
      </c>
    </row>
    <row r="1023" spans="17:18">
      <c r="Q1023" s="275">
        <f t="shared" si="56"/>
        <v>0.98600000000000076</v>
      </c>
      <c r="R1023" s="257">
        <v>1</v>
      </c>
    </row>
    <row r="1024" spans="17:18">
      <c r="Q1024" s="275">
        <f t="shared" si="56"/>
        <v>0.98700000000000077</v>
      </c>
      <c r="R1024" s="257">
        <v>1</v>
      </c>
    </row>
    <row r="1025" spans="17:18">
      <c r="Q1025" s="275">
        <f t="shared" si="56"/>
        <v>0.98800000000000077</v>
      </c>
      <c r="R1025" s="257">
        <v>1</v>
      </c>
    </row>
    <row r="1026" spans="17:18">
      <c r="Q1026" s="275">
        <f t="shared" si="56"/>
        <v>0.98900000000000077</v>
      </c>
      <c r="R1026" s="257">
        <v>1</v>
      </c>
    </row>
    <row r="1027" spans="17:18">
      <c r="Q1027" s="275">
        <f t="shared" si="56"/>
        <v>0.99000000000000077</v>
      </c>
      <c r="R1027" s="257">
        <v>1</v>
      </c>
    </row>
    <row r="1028" spans="17:18">
      <c r="Q1028" s="275">
        <f t="shared" si="56"/>
        <v>0.99100000000000077</v>
      </c>
      <c r="R1028" s="257">
        <v>1</v>
      </c>
    </row>
    <row r="1029" spans="17:18">
      <c r="Q1029" s="275">
        <f t="shared" si="56"/>
        <v>0.99200000000000077</v>
      </c>
      <c r="R1029" s="257">
        <v>1</v>
      </c>
    </row>
    <row r="1030" spans="17:18">
      <c r="Q1030" s="275">
        <f t="shared" si="56"/>
        <v>0.99300000000000077</v>
      </c>
      <c r="R1030" s="257">
        <v>1</v>
      </c>
    </row>
    <row r="1031" spans="17:18">
      <c r="Q1031" s="275">
        <f t="shared" si="56"/>
        <v>0.99400000000000077</v>
      </c>
      <c r="R1031" s="257">
        <v>1</v>
      </c>
    </row>
    <row r="1032" spans="17:18">
      <c r="Q1032" s="275">
        <f t="shared" si="56"/>
        <v>0.99500000000000077</v>
      </c>
      <c r="R1032" s="257">
        <v>1</v>
      </c>
    </row>
    <row r="1033" spans="17:18">
      <c r="Q1033" s="275">
        <f t="shared" si="56"/>
        <v>0.99600000000000077</v>
      </c>
      <c r="R1033" s="257">
        <v>1</v>
      </c>
    </row>
    <row r="1034" spans="17:18">
      <c r="Q1034" s="275">
        <f t="shared" si="56"/>
        <v>0.99700000000000077</v>
      </c>
      <c r="R1034" s="257">
        <v>1</v>
      </c>
    </row>
    <row r="1035" spans="17:18">
      <c r="Q1035" s="275">
        <f t="shared" si="56"/>
        <v>0.99800000000000078</v>
      </c>
      <c r="R1035" s="257">
        <v>1</v>
      </c>
    </row>
    <row r="1036" spans="17:18">
      <c r="Q1036" s="275">
        <f t="shared" si="56"/>
        <v>0.99900000000000078</v>
      </c>
      <c r="R1036" s="257">
        <v>1</v>
      </c>
    </row>
    <row r="1037" spans="17:18">
      <c r="Q1037" s="275">
        <f t="shared" si="56"/>
        <v>1.0000000000000007</v>
      </c>
      <c r="R1037" s="257">
        <v>1</v>
      </c>
    </row>
    <row r="1038" spans="17:18">
      <c r="Q1038" s="275">
        <f t="shared" si="56"/>
        <v>1.0010000000000006</v>
      </c>
      <c r="R1038" s="276">
        <v>1.125</v>
      </c>
    </row>
    <row r="1039" spans="17:18">
      <c r="Q1039" s="275">
        <f t="shared" si="56"/>
        <v>1.0020000000000004</v>
      </c>
      <c r="R1039" s="276">
        <v>1.125</v>
      </c>
    </row>
    <row r="1040" spans="17:18">
      <c r="Q1040" s="275">
        <f t="shared" si="56"/>
        <v>1.0030000000000003</v>
      </c>
      <c r="R1040" s="276">
        <v>1.125</v>
      </c>
    </row>
    <row r="1041" spans="17:18">
      <c r="Q1041" s="275">
        <f t="shared" si="56"/>
        <v>1.0040000000000002</v>
      </c>
      <c r="R1041" s="276">
        <v>1.125</v>
      </c>
    </row>
    <row r="1042" spans="17:18">
      <c r="Q1042" s="275">
        <f t="shared" si="56"/>
        <v>1.0050000000000001</v>
      </c>
      <c r="R1042" s="276">
        <v>1.125</v>
      </c>
    </row>
    <row r="1043" spans="17:18">
      <c r="Q1043" s="275">
        <f t="shared" si="56"/>
        <v>1.006</v>
      </c>
      <c r="R1043" s="276">
        <v>1.125</v>
      </c>
    </row>
    <row r="1044" spans="17:18">
      <c r="Q1044" s="275">
        <f t="shared" si="56"/>
        <v>1.0069999999999999</v>
      </c>
      <c r="R1044" s="276">
        <v>1.125</v>
      </c>
    </row>
    <row r="1045" spans="17:18">
      <c r="Q1045" s="275">
        <f t="shared" si="56"/>
        <v>1.0079999999999998</v>
      </c>
      <c r="R1045" s="276">
        <v>1.125</v>
      </c>
    </row>
    <row r="1046" spans="17:18">
      <c r="Q1046" s="275">
        <f t="shared" si="56"/>
        <v>1.0089999999999997</v>
      </c>
      <c r="R1046" s="276">
        <v>1.125</v>
      </c>
    </row>
    <row r="1047" spans="17:18">
      <c r="Q1047" s="275">
        <f t="shared" si="56"/>
        <v>1.0099999999999996</v>
      </c>
      <c r="R1047" s="276">
        <v>1.125</v>
      </c>
    </row>
    <row r="1048" spans="17:18">
      <c r="Q1048" s="275">
        <f t="shared" si="56"/>
        <v>1.0109999999999995</v>
      </c>
      <c r="R1048" s="276">
        <v>1.125</v>
      </c>
    </row>
    <row r="1049" spans="17:18">
      <c r="Q1049" s="275">
        <f t="shared" si="56"/>
        <v>1.0119999999999993</v>
      </c>
      <c r="R1049" s="276">
        <v>1.125</v>
      </c>
    </row>
    <row r="1050" spans="17:18">
      <c r="Q1050" s="275">
        <f t="shared" si="56"/>
        <v>1.0129999999999992</v>
      </c>
      <c r="R1050" s="276">
        <v>1.125</v>
      </c>
    </row>
    <row r="1051" spans="17:18">
      <c r="Q1051" s="275">
        <f t="shared" si="56"/>
        <v>1.0139999999999991</v>
      </c>
      <c r="R1051" s="276">
        <v>1.125</v>
      </c>
    </row>
    <row r="1052" spans="17:18">
      <c r="Q1052" s="275">
        <f t="shared" si="56"/>
        <v>1.014999999999999</v>
      </c>
      <c r="R1052" s="276">
        <v>1.125</v>
      </c>
    </row>
    <row r="1053" spans="17:18">
      <c r="Q1053" s="275">
        <f t="shared" si="56"/>
        <v>1.0159999999999989</v>
      </c>
      <c r="R1053" s="276">
        <v>1.125</v>
      </c>
    </row>
    <row r="1054" spans="17:18">
      <c r="Q1054" s="275">
        <f t="shared" si="56"/>
        <v>1.0169999999999988</v>
      </c>
      <c r="R1054" s="276">
        <v>1.125</v>
      </c>
    </row>
    <row r="1055" spans="17:18">
      <c r="Q1055" s="275">
        <f t="shared" si="56"/>
        <v>1.0179999999999987</v>
      </c>
      <c r="R1055" s="276">
        <v>1.125</v>
      </c>
    </row>
    <row r="1056" spans="17:18">
      <c r="Q1056" s="275">
        <f t="shared" si="56"/>
        <v>1.0189999999999986</v>
      </c>
      <c r="R1056" s="276">
        <v>1.125</v>
      </c>
    </row>
    <row r="1057" spans="17:18">
      <c r="Q1057" s="275">
        <f t="shared" si="56"/>
        <v>1.0199999999999985</v>
      </c>
      <c r="R1057" s="276">
        <v>1.125</v>
      </c>
    </row>
    <row r="1058" spans="17:18">
      <c r="Q1058" s="275">
        <f t="shared" si="56"/>
        <v>1.0209999999999984</v>
      </c>
      <c r="R1058" s="276">
        <v>1.125</v>
      </c>
    </row>
    <row r="1059" spans="17:18">
      <c r="Q1059" s="275">
        <f t="shared" si="56"/>
        <v>1.0219999999999982</v>
      </c>
      <c r="R1059" s="276">
        <v>1.125</v>
      </c>
    </row>
    <row r="1060" spans="17:18">
      <c r="Q1060" s="275">
        <f t="shared" si="56"/>
        <v>1.0229999999999981</v>
      </c>
      <c r="R1060" s="276">
        <v>1.125</v>
      </c>
    </row>
    <row r="1061" spans="17:18">
      <c r="Q1061" s="275">
        <f t="shared" si="56"/>
        <v>1.023999999999998</v>
      </c>
      <c r="R1061" s="276">
        <v>1.125</v>
      </c>
    </row>
    <row r="1062" spans="17:18">
      <c r="Q1062" s="275">
        <f t="shared" si="56"/>
        <v>1.0249999999999979</v>
      </c>
      <c r="R1062" s="276">
        <v>1.125</v>
      </c>
    </row>
    <row r="1063" spans="17:18">
      <c r="Q1063" s="275">
        <f t="shared" ref="Q1063:Q1126" si="57">Q1062+0.001</f>
        <v>1.0259999999999978</v>
      </c>
      <c r="R1063" s="276">
        <v>1.125</v>
      </c>
    </row>
    <row r="1064" spans="17:18">
      <c r="Q1064" s="275">
        <f t="shared" si="57"/>
        <v>1.0269999999999977</v>
      </c>
      <c r="R1064" s="276">
        <v>1.125</v>
      </c>
    </row>
    <row r="1065" spans="17:18">
      <c r="Q1065" s="275">
        <f t="shared" si="57"/>
        <v>1.0279999999999976</v>
      </c>
      <c r="R1065" s="276">
        <v>1.125</v>
      </c>
    </row>
    <row r="1066" spans="17:18">
      <c r="Q1066" s="275">
        <f t="shared" si="57"/>
        <v>1.0289999999999975</v>
      </c>
      <c r="R1066" s="276">
        <v>1.125</v>
      </c>
    </row>
    <row r="1067" spans="17:18">
      <c r="Q1067" s="275">
        <f t="shared" si="57"/>
        <v>1.0299999999999974</v>
      </c>
      <c r="R1067" s="276">
        <v>1.125</v>
      </c>
    </row>
    <row r="1068" spans="17:18">
      <c r="Q1068" s="275">
        <f t="shared" si="57"/>
        <v>1.0309999999999973</v>
      </c>
      <c r="R1068" s="276">
        <v>1.125</v>
      </c>
    </row>
    <row r="1069" spans="17:18">
      <c r="Q1069" s="275">
        <f t="shared" si="57"/>
        <v>1.0319999999999971</v>
      </c>
      <c r="R1069" s="276">
        <v>1.125</v>
      </c>
    </row>
    <row r="1070" spans="17:18">
      <c r="Q1070" s="275">
        <f t="shared" si="57"/>
        <v>1.032999999999997</v>
      </c>
      <c r="R1070" s="276">
        <v>1.125</v>
      </c>
    </row>
    <row r="1071" spans="17:18">
      <c r="Q1071" s="275">
        <f t="shared" si="57"/>
        <v>1.0339999999999969</v>
      </c>
      <c r="R1071" s="276">
        <v>1.125</v>
      </c>
    </row>
    <row r="1072" spans="17:18">
      <c r="Q1072" s="275">
        <f t="shared" si="57"/>
        <v>1.0349999999999968</v>
      </c>
      <c r="R1072" s="276">
        <v>1.125</v>
      </c>
    </row>
    <row r="1073" spans="17:18">
      <c r="Q1073" s="275">
        <f t="shared" si="57"/>
        <v>1.0359999999999967</v>
      </c>
      <c r="R1073" s="276">
        <v>1.125</v>
      </c>
    </row>
    <row r="1074" spans="17:18">
      <c r="Q1074" s="275">
        <f t="shared" si="57"/>
        <v>1.0369999999999966</v>
      </c>
      <c r="R1074" s="276">
        <v>1.125</v>
      </c>
    </row>
    <row r="1075" spans="17:18">
      <c r="Q1075" s="275">
        <f t="shared" si="57"/>
        <v>1.0379999999999965</v>
      </c>
      <c r="R1075" s="276">
        <v>1.125</v>
      </c>
    </row>
    <row r="1076" spans="17:18">
      <c r="Q1076" s="275">
        <f t="shared" si="57"/>
        <v>1.0389999999999964</v>
      </c>
      <c r="R1076" s="276">
        <v>1.125</v>
      </c>
    </row>
    <row r="1077" spans="17:18">
      <c r="Q1077" s="275">
        <f t="shared" si="57"/>
        <v>1.0399999999999963</v>
      </c>
      <c r="R1077" s="276">
        <v>1.125</v>
      </c>
    </row>
    <row r="1078" spans="17:18">
      <c r="Q1078" s="275">
        <f t="shared" si="57"/>
        <v>1.0409999999999962</v>
      </c>
      <c r="R1078" s="276">
        <v>1.125</v>
      </c>
    </row>
    <row r="1079" spans="17:18">
      <c r="Q1079" s="275">
        <f t="shared" si="57"/>
        <v>1.041999999999996</v>
      </c>
      <c r="R1079" s="276">
        <v>1.125</v>
      </c>
    </row>
    <row r="1080" spans="17:18">
      <c r="Q1080" s="275">
        <f t="shared" si="57"/>
        <v>1.0429999999999959</v>
      </c>
      <c r="R1080" s="276">
        <v>1.125</v>
      </c>
    </row>
    <row r="1081" spans="17:18">
      <c r="Q1081" s="275">
        <f t="shared" si="57"/>
        <v>1.0439999999999958</v>
      </c>
      <c r="R1081" s="276">
        <v>1.125</v>
      </c>
    </row>
    <row r="1082" spans="17:18">
      <c r="Q1082" s="275">
        <f t="shared" si="57"/>
        <v>1.0449999999999957</v>
      </c>
      <c r="R1082" s="276">
        <v>1.125</v>
      </c>
    </row>
    <row r="1083" spans="17:18">
      <c r="Q1083" s="275">
        <f t="shared" si="57"/>
        <v>1.0459999999999956</v>
      </c>
      <c r="R1083" s="276">
        <v>1.125</v>
      </c>
    </row>
    <row r="1084" spans="17:18">
      <c r="Q1084" s="275">
        <f t="shared" si="57"/>
        <v>1.0469999999999955</v>
      </c>
      <c r="R1084" s="276">
        <v>1.125</v>
      </c>
    </row>
    <row r="1085" spans="17:18">
      <c r="Q1085" s="275">
        <f t="shared" si="57"/>
        <v>1.0479999999999954</v>
      </c>
      <c r="R1085" s="276">
        <v>1.125</v>
      </c>
    </row>
    <row r="1086" spans="17:18">
      <c r="Q1086" s="275">
        <f t="shared" si="57"/>
        <v>1.0489999999999953</v>
      </c>
      <c r="R1086" s="276">
        <v>1.125</v>
      </c>
    </row>
    <row r="1087" spans="17:18">
      <c r="Q1087" s="275">
        <f t="shared" si="57"/>
        <v>1.0499999999999952</v>
      </c>
      <c r="R1087" s="276">
        <v>1.125</v>
      </c>
    </row>
    <row r="1088" spans="17:18">
      <c r="Q1088" s="275">
        <f t="shared" si="57"/>
        <v>1.050999999999995</v>
      </c>
      <c r="R1088" s="276">
        <v>1.125</v>
      </c>
    </row>
    <row r="1089" spans="17:18">
      <c r="Q1089" s="275">
        <f t="shared" si="57"/>
        <v>1.0519999999999949</v>
      </c>
      <c r="R1089" s="276">
        <v>1.125</v>
      </c>
    </row>
    <row r="1090" spans="17:18">
      <c r="Q1090" s="275">
        <f t="shared" si="57"/>
        <v>1.0529999999999948</v>
      </c>
      <c r="R1090" s="276">
        <v>1.125</v>
      </c>
    </row>
    <row r="1091" spans="17:18">
      <c r="Q1091" s="275">
        <f t="shared" si="57"/>
        <v>1.0539999999999947</v>
      </c>
      <c r="R1091" s="276">
        <v>1.125</v>
      </c>
    </row>
    <row r="1092" spans="17:18">
      <c r="Q1092" s="275">
        <f t="shared" si="57"/>
        <v>1.0549999999999946</v>
      </c>
      <c r="R1092" s="276">
        <v>1.125</v>
      </c>
    </row>
    <row r="1093" spans="17:18">
      <c r="Q1093" s="275">
        <f t="shared" si="57"/>
        <v>1.0559999999999945</v>
      </c>
      <c r="R1093" s="276">
        <v>1.125</v>
      </c>
    </row>
    <row r="1094" spans="17:18">
      <c r="Q1094" s="275">
        <f t="shared" si="57"/>
        <v>1.0569999999999944</v>
      </c>
      <c r="R1094" s="276">
        <v>1.125</v>
      </c>
    </row>
    <row r="1095" spans="17:18">
      <c r="Q1095" s="275">
        <f t="shared" si="57"/>
        <v>1.0579999999999943</v>
      </c>
      <c r="R1095" s="276">
        <v>1.125</v>
      </c>
    </row>
    <row r="1096" spans="17:18">
      <c r="Q1096" s="275">
        <f t="shared" si="57"/>
        <v>1.0589999999999942</v>
      </c>
      <c r="R1096" s="276">
        <v>1.125</v>
      </c>
    </row>
    <row r="1097" spans="17:18">
      <c r="Q1097" s="275">
        <f t="shared" si="57"/>
        <v>1.0599999999999941</v>
      </c>
      <c r="R1097" s="276">
        <v>1.125</v>
      </c>
    </row>
    <row r="1098" spans="17:18">
      <c r="Q1098" s="275">
        <f t="shared" si="57"/>
        <v>1.0609999999999939</v>
      </c>
      <c r="R1098" s="276">
        <v>1.125</v>
      </c>
    </row>
    <row r="1099" spans="17:18">
      <c r="Q1099" s="275">
        <f t="shared" si="57"/>
        <v>1.0619999999999938</v>
      </c>
      <c r="R1099" s="276">
        <v>1.125</v>
      </c>
    </row>
    <row r="1100" spans="17:18">
      <c r="Q1100" s="275">
        <f t="shared" si="57"/>
        <v>1.0629999999999937</v>
      </c>
      <c r="R1100" s="276">
        <v>1.125</v>
      </c>
    </row>
    <row r="1101" spans="17:18">
      <c r="Q1101" s="275">
        <f t="shared" si="57"/>
        <v>1.0639999999999936</v>
      </c>
      <c r="R1101" s="276">
        <v>1.125</v>
      </c>
    </row>
    <row r="1102" spans="17:18">
      <c r="Q1102" s="275">
        <f t="shared" si="57"/>
        <v>1.0649999999999935</v>
      </c>
      <c r="R1102" s="276">
        <v>1.125</v>
      </c>
    </row>
    <row r="1103" spans="17:18">
      <c r="Q1103" s="275">
        <f t="shared" si="57"/>
        <v>1.0659999999999934</v>
      </c>
      <c r="R1103" s="276">
        <v>1.125</v>
      </c>
    </row>
    <row r="1104" spans="17:18">
      <c r="Q1104" s="275">
        <f t="shared" si="57"/>
        <v>1.0669999999999933</v>
      </c>
      <c r="R1104" s="276">
        <v>1.125</v>
      </c>
    </row>
    <row r="1105" spans="17:18">
      <c r="Q1105" s="275">
        <f t="shared" si="57"/>
        <v>1.0679999999999932</v>
      </c>
      <c r="R1105" s="276">
        <v>1.125</v>
      </c>
    </row>
    <row r="1106" spans="17:18">
      <c r="Q1106" s="275">
        <f t="shared" si="57"/>
        <v>1.0689999999999931</v>
      </c>
      <c r="R1106" s="276">
        <v>1.125</v>
      </c>
    </row>
    <row r="1107" spans="17:18">
      <c r="Q1107" s="275">
        <f t="shared" si="57"/>
        <v>1.069999999999993</v>
      </c>
      <c r="R1107" s="276">
        <v>1.125</v>
      </c>
    </row>
    <row r="1108" spans="17:18">
      <c r="Q1108" s="275">
        <f t="shared" si="57"/>
        <v>1.0709999999999928</v>
      </c>
      <c r="R1108" s="276">
        <v>1.125</v>
      </c>
    </row>
    <row r="1109" spans="17:18">
      <c r="Q1109" s="275">
        <f t="shared" si="57"/>
        <v>1.0719999999999927</v>
      </c>
      <c r="R1109" s="276">
        <v>1.125</v>
      </c>
    </row>
    <row r="1110" spans="17:18">
      <c r="Q1110" s="275">
        <f t="shared" si="57"/>
        <v>1.0729999999999926</v>
      </c>
      <c r="R1110" s="276">
        <v>1.125</v>
      </c>
    </row>
    <row r="1111" spans="17:18">
      <c r="Q1111" s="275">
        <f t="shared" si="57"/>
        <v>1.0739999999999925</v>
      </c>
      <c r="R1111" s="276">
        <v>1.125</v>
      </c>
    </row>
    <row r="1112" spans="17:18">
      <c r="Q1112" s="275">
        <f t="shared" si="57"/>
        <v>1.0749999999999924</v>
      </c>
      <c r="R1112" s="276">
        <v>1.125</v>
      </c>
    </row>
    <row r="1113" spans="17:18">
      <c r="Q1113" s="275">
        <f t="shared" si="57"/>
        <v>1.0759999999999923</v>
      </c>
      <c r="R1113" s="276">
        <v>1.125</v>
      </c>
    </row>
    <row r="1114" spans="17:18">
      <c r="Q1114" s="275">
        <f t="shared" si="57"/>
        <v>1.0769999999999922</v>
      </c>
      <c r="R1114" s="276">
        <v>1.125</v>
      </c>
    </row>
    <row r="1115" spans="17:18">
      <c r="Q1115" s="275">
        <f t="shared" si="57"/>
        <v>1.0779999999999921</v>
      </c>
      <c r="R1115" s="276">
        <v>1.125</v>
      </c>
    </row>
    <row r="1116" spans="17:18">
      <c r="Q1116" s="275">
        <f t="shared" si="57"/>
        <v>1.078999999999992</v>
      </c>
      <c r="R1116" s="276">
        <v>1.125</v>
      </c>
    </row>
    <row r="1117" spans="17:18">
      <c r="Q1117" s="275">
        <f t="shared" si="57"/>
        <v>1.0799999999999919</v>
      </c>
      <c r="R1117" s="276">
        <v>1.125</v>
      </c>
    </row>
    <row r="1118" spans="17:18">
      <c r="Q1118" s="275">
        <f t="shared" si="57"/>
        <v>1.0809999999999917</v>
      </c>
      <c r="R1118" s="276">
        <v>1.125</v>
      </c>
    </row>
    <row r="1119" spans="17:18">
      <c r="Q1119" s="275">
        <f t="shared" si="57"/>
        <v>1.0819999999999916</v>
      </c>
      <c r="R1119" s="276">
        <v>1.125</v>
      </c>
    </row>
    <row r="1120" spans="17:18">
      <c r="Q1120" s="275">
        <f t="shared" si="57"/>
        <v>1.0829999999999915</v>
      </c>
      <c r="R1120" s="276">
        <v>1.125</v>
      </c>
    </row>
    <row r="1121" spans="17:18">
      <c r="Q1121" s="275">
        <f t="shared" si="57"/>
        <v>1.0839999999999914</v>
      </c>
      <c r="R1121" s="276">
        <v>1.125</v>
      </c>
    </row>
    <row r="1122" spans="17:18">
      <c r="Q1122" s="275">
        <f t="shared" si="57"/>
        <v>1.0849999999999913</v>
      </c>
      <c r="R1122" s="276">
        <v>1.125</v>
      </c>
    </row>
    <row r="1123" spans="17:18">
      <c r="Q1123" s="275">
        <f t="shared" si="57"/>
        <v>1.0859999999999912</v>
      </c>
      <c r="R1123" s="276">
        <v>1.125</v>
      </c>
    </row>
    <row r="1124" spans="17:18">
      <c r="Q1124" s="275">
        <f t="shared" si="57"/>
        <v>1.0869999999999911</v>
      </c>
      <c r="R1124" s="276">
        <v>1.125</v>
      </c>
    </row>
    <row r="1125" spans="17:18">
      <c r="Q1125" s="275">
        <f t="shared" si="57"/>
        <v>1.087999999999991</v>
      </c>
      <c r="R1125" s="276">
        <v>1.125</v>
      </c>
    </row>
    <row r="1126" spans="17:18">
      <c r="Q1126" s="275">
        <f t="shared" si="57"/>
        <v>1.0889999999999909</v>
      </c>
      <c r="R1126" s="276">
        <v>1.125</v>
      </c>
    </row>
    <row r="1127" spans="17:18">
      <c r="Q1127" s="275">
        <f t="shared" ref="Q1127:Q1190" si="58">Q1126+0.001</f>
        <v>1.0899999999999908</v>
      </c>
      <c r="R1127" s="276">
        <v>1.125</v>
      </c>
    </row>
    <row r="1128" spans="17:18">
      <c r="Q1128" s="275">
        <f t="shared" si="58"/>
        <v>1.0909999999999906</v>
      </c>
      <c r="R1128" s="276">
        <v>1.125</v>
      </c>
    </row>
    <row r="1129" spans="17:18">
      <c r="Q1129" s="275">
        <f t="shared" si="58"/>
        <v>1.0919999999999905</v>
      </c>
      <c r="R1129" s="276">
        <v>1.125</v>
      </c>
    </row>
    <row r="1130" spans="17:18">
      <c r="Q1130" s="275">
        <f t="shared" si="58"/>
        <v>1.0929999999999904</v>
      </c>
      <c r="R1130" s="276">
        <v>1.125</v>
      </c>
    </row>
    <row r="1131" spans="17:18">
      <c r="Q1131" s="275">
        <f t="shared" si="58"/>
        <v>1.0939999999999903</v>
      </c>
      <c r="R1131" s="276">
        <v>1.125</v>
      </c>
    </row>
    <row r="1132" spans="17:18">
      <c r="Q1132" s="275">
        <f t="shared" si="58"/>
        <v>1.0949999999999902</v>
      </c>
      <c r="R1132" s="276">
        <v>1.125</v>
      </c>
    </row>
    <row r="1133" spans="17:18">
      <c r="Q1133" s="275">
        <f t="shared" si="58"/>
        <v>1.0959999999999901</v>
      </c>
      <c r="R1133" s="276">
        <v>1.125</v>
      </c>
    </row>
    <row r="1134" spans="17:18">
      <c r="Q1134" s="275">
        <f t="shared" si="58"/>
        <v>1.09699999999999</v>
      </c>
      <c r="R1134" s="276">
        <v>1.125</v>
      </c>
    </row>
    <row r="1135" spans="17:18">
      <c r="Q1135" s="275">
        <f t="shared" si="58"/>
        <v>1.0979999999999899</v>
      </c>
      <c r="R1135" s="276">
        <v>1.125</v>
      </c>
    </row>
    <row r="1136" spans="17:18">
      <c r="Q1136" s="275">
        <f t="shared" si="58"/>
        <v>1.0989999999999898</v>
      </c>
      <c r="R1136" s="276">
        <v>1.125</v>
      </c>
    </row>
    <row r="1137" spans="17:18">
      <c r="Q1137" s="275">
        <f t="shared" si="58"/>
        <v>1.0999999999999897</v>
      </c>
      <c r="R1137" s="276">
        <v>1.125</v>
      </c>
    </row>
    <row r="1138" spans="17:18">
      <c r="Q1138" s="275">
        <f t="shared" si="58"/>
        <v>1.1009999999999895</v>
      </c>
      <c r="R1138" s="276">
        <v>1.125</v>
      </c>
    </row>
    <row r="1139" spans="17:18">
      <c r="Q1139" s="275">
        <f t="shared" si="58"/>
        <v>1.1019999999999894</v>
      </c>
      <c r="R1139" s="276">
        <v>1.125</v>
      </c>
    </row>
    <row r="1140" spans="17:18">
      <c r="Q1140" s="275">
        <f t="shared" si="58"/>
        <v>1.1029999999999893</v>
      </c>
      <c r="R1140" s="276">
        <v>1.125</v>
      </c>
    </row>
    <row r="1141" spans="17:18">
      <c r="Q1141" s="275">
        <f t="shared" si="58"/>
        <v>1.1039999999999892</v>
      </c>
      <c r="R1141" s="276">
        <v>1.125</v>
      </c>
    </row>
    <row r="1142" spans="17:18">
      <c r="Q1142" s="275">
        <f t="shared" si="58"/>
        <v>1.1049999999999891</v>
      </c>
      <c r="R1142" s="276">
        <v>1.125</v>
      </c>
    </row>
    <row r="1143" spans="17:18">
      <c r="Q1143" s="275">
        <f t="shared" si="58"/>
        <v>1.105999999999989</v>
      </c>
      <c r="R1143" s="276">
        <v>1.125</v>
      </c>
    </row>
    <row r="1144" spans="17:18">
      <c r="Q1144" s="275">
        <f t="shared" si="58"/>
        <v>1.1069999999999889</v>
      </c>
      <c r="R1144" s="276">
        <v>1.125</v>
      </c>
    </row>
    <row r="1145" spans="17:18">
      <c r="Q1145" s="275">
        <f t="shared" si="58"/>
        <v>1.1079999999999888</v>
      </c>
      <c r="R1145" s="276">
        <v>1.125</v>
      </c>
    </row>
    <row r="1146" spans="17:18">
      <c r="Q1146" s="275">
        <f t="shared" si="58"/>
        <v>1.1089999999999887</v>
      </c>
      <c r="R1146" s="276">
        <v>1.125</v>
      </c>
    </row>
    <row r="1147" spans="17:18">
      <c r="Q1147" s="275">
        <f t="shared" si="58"/>
        <v>1.1099999999999886</v>
      </c>
      <c r="R1147" s="276">
        <v>1.125</v>
      </c>
    </row>
    <row r="1148" spans="17:18">
      <c r="Q1148" s="275">
        <f t="shared" si="58"/>
        <v>1.1109999999999884</v>
      </c>
      <c r="R1148" s="276">
        <v>1.125</v>
      </c>
    </row>
    <row r="1149" spans="17:18">
      <c r="Q1149" s="275">
        <f t="shared" si="58"/>
        <v>1.1119999999999883</v>
      </c>
      <c r="R1149" s="276">
        <v>1.125</v>
      </c>
    </row>
    <row r="1150" spans="17:18">
      <c r="Q1150" s="275">
        <f t="shared" si="58"/>
        <v>1.1129999999999882</v>
      </c>
      <c r="R1150" s="276">
        <v>1.125</v>
      </c>
    </row>
    <row r="1151" spans="17:18">
      <c r="Q1151" s="275">
        <f t="shared" si="58"/>
        <v>1.1139999999999881</v>
      </c>
      <c r="R1151" s="276">
        <v>1.125</v>
      </c>
    </row>
    <row r="1152" spans="17:18">
      <c r="Q1152" s="275">
        <f t="shared" si="58"/>
        <v>1.114999999999988</v>
      </c>
      <c r="R1152" s="276">
        <v>1.125</v>
      </c>
    </row>
    <row r="1153" spans="17:18">
      <c r="Q1153" s="275">
        <f t="shared" si="58"/>
        <v>1.1159999999999879</v>
      </c>
      <c r="R1153" s="276">
        <v>1.125</v>
      </c>
    </row>
    <row r="1154" spans="17:18">
      <c r="Q1154" s="275">
        <f t="shared" si="58"/>
        <v>1.1169999999999878</v>
      </c>
      <c r="R1154" s="276">
        <v>1.125</v>
      </c>
    </row>
    <row r="1155" spans="17:18">
      <c r="Q1155" s="275">
        <f t="shared" si="58"/>
        <v>1.1179999999999877</v>
      </c>
      <c r="R1155" s="276">
        <v>1.125</v>
      </c>
    </row>
    <row r="1156" spans="17:18">
      <c r="Q1156" s="275">
        <f t="shared" si="58"/>
        <v>1.1189999999999876</v>
      </c>
      <c r="R1156" s="276">
        <v>1.125</v>
      </c>
    </row>
    <row r="1157" spans="17:18">
      <c r="Q1157" s="275">
        <f t="shared" si="58"/>
        <v>1.1199999999999875</v>
      </c>
      <c r="R1157" s="276">
        <v>1.125</v>
      </c>
    </row>
    <row r="1158" spans="17:18">
      <c r="Q1158" s="275">
        <f t="shared" si="58"/>
        <v>1.1209999999999873</v>
      </c>
      <c r="R1158" s="276">
        <v>1.125</v>
      </c>
    </row>
    <row r="1159" spans="17:18">
      <c r="Q1159" s="275">
        <f t="shared" si="58"/>
        <v>1.1219999999999872</v>
      </c>
      <c r="R1159" s="276">
        <v>1.125</v>
      </c>
    </row>
    <row r="1160" spans="17:18">
      <c r="Q1160" s="275">
        <f t="shared" si="58"/>
        <v>1.1229999999999871</v>
      </c>
      <c r="R1160" s="276">
        <v>1.125</v>
      </c>
    </row>
    <row r="1161" spans="17:18">
      <c r="Q1161" s="275">
        <f t="shared" si="58"/>
        <v>1.123999999999987</v>
      </c>
      <c r="R1161" s="276">
        <v>1.125</v>
      </c>
    </row>
    <row r="1162" spans="17:18">
      <c r="Q1162" s="275">
        <f t="shared" si="58"/>
        <v>1.1249999999999869</v>
      </c>
      <c r="R1162" s="276">
        <v>1.125</v>
      </c>
    </row>
    <row r="1163" spans="17:18">
      <c r="Q1163" s="275">
        <f t="shared" si="58"/>
        <v>1.1259999999999868</v>
      </c>
      <c r="R1163" s="276">
        <v>1.125</v>
      </c>
    </row>
    <row r="1164" spans="17:18">
      <c r="Q1164" s="275">
        <f t="shared" si="58"/>
        <v>1.1269999999999867</v>
      </c>
      <c r="R1164" s="276">
        <v>1.125</v>
      </c>
    </row>
    <row r="1165" spans="17:18">
      <c r="Q1165" s="275">
        <f t="shared" si="58"/>
        <v>1.1279999999999866</v>
      </c>
      <c r="R1165" s="276">
        <v>1.125</v>
      </c>
    </row>
    <row r="1166" spans="17:18">
      <c r="Q1166" s="275">
        <f t="shared" si="58"/>
        <v>1.1289999999999865</v>
      </c>
      <c r="R1166" s="276">
        <v>1.125</v>
      </c>
    </row>
    <row r="1167" spans="17:18">
      <c r="Q1167" s="275">
        <f t="shared" si="58"/>
        <v>1.1299999999999863</v>
      </c>
      <c r="R1167" s="276">
        <v>1.125</v>
      </c>
    </row>
    <row r="1168" spans="17:18">
      <c r="Q1168" s="275">
        <f t="shared" si="58"/>
        <v>1.1309999999999862</v>
      </c>
      <c r="R1168" s="276">
        <v>1.125</v>
      </c>
    </row>
    <row r="1169" spans="17:18">
      <c r="Q1169" s="275">
        <f t="shared" si="58"/>
        <v>1.1319999999999861</v>
      </c>
      <c r="R1169" s="276">
        <v>1.125</v>
      </c>
    </row>
    <row r="1170" spans="17:18">
      <c r="Q1170" s="275">
        <f t="shared" si="58"/>
        <v>1.132999999999986</v>
      </c>
      <c r="R1170" s="276">
        <v>1.125</v>
      </c>
    </row>
    <row r="1171" spans="17:18">
      <c r="Q1171" s="275">
        <f t="shared" si="58"/>
        <v>1.1339999999999859</v>
      </c>
      <c r="R1171" s="276">
        <v>1.125</v>
      </c>
    </row>
    <row r="1172" spans="17:18">
      <c r="Q1172" s="275">
        <f t="shared" si="58"/>
        <v>1.1349999999999858</v>
      </c>
      <c r="R1172" s="276">
        <v>1.125</v>
      </c>
    </row>
    <row r="1173" spans="17:18">
      <c r="Q1173" s="275">
        <f t="shared" si="58"/>
        <v>1.1359999999999857</v>
      </c>
      <c r="R1173" s="276">
        <v>1.125</v>
      </c>
    </row>
    <row r="1174" spans="17:18">
      <c r="Q1174" s="275">
        <f t="shared" si="58"/>
        <v>1.1369999999999856</v>
      </c>
      <c r="R1174" s="276">
        <v>1.125</v>
      </c>
    </row>
    <row r="1175" spans="17:18">
      <c r="Q1175" s="275">
        <f t="shared" si="58"/>
        <v>1.1379999999999855</v>
      </c>
      <c r="R1175" s="276">
        <v>1.125</v>
      </c>
    </row>
    <row r="1176" spans="17:18">
      <c r="Q1176" s="275">
        <f t="shared" si="58"/>
        <v>1.1389999999999854</v>
      </c>
      <c r="R1176" s="276">
        <v>1.125</v>
      </c>
    </row>
    <row r="1177" spans="17:18">
      <c r="Q1177" s="275">
        <f t="shared" si="58"/>
        <v>1.1399999999999852</v>
      </c>
      <c r="R1177" s="276">
        <v>1.125</v>
      </c>
    </row>
    <row r="1178" spans="17:18">
      <c r="Q1178" s="275">
        <f t="shared" si="58"/>
        <v>1.1409999999999851</v>
      </c>
      <c r="R1178" s="276">
        <v>1.125</v>
      </c>
    </row>
    <row r="1179" spans="17:18">
      <c r="Q1179" s="275">
        <f t="shared" si="58"/>
        <v>1.141999999999985</v>
      </c>
      <c r="R1179" s="276">
        <v>1.125</v>
      </c>
    </row>
    <row r="1180" spans="17:18">
      <c r="Q1180" s="275">
        <f t="shared" si="58"/>
        <v>1.1429999999999849</v>
      </c>
      <c r="R1180" s="276">
        <v>1.125</v>
      </c>
    </row>
    <row r="1181" spans="17:18">
      <c r="Q1181" s="275">
        <f t="shared" si="58"/>
        <v>1.1439999999999848</v>
      </c>
      <c r="R1181" s="276">
        <v>1.125</v>
      </c>
    </row>
    <row r="1182" spans="17:18">
      <c r="Q1182" s="275">
        <f t="shared" si="58"/>
        <v>1.1449999999999847</v>
      </c>
      <c r="R1182" s="276">
        <v>1.125</v>
      </c>
    </row>
    <row r="1183" spans="17:18">
      <c r="Q1183" s="275">
        <f t="shared" si="58"/>
        <v>1.1459999999999846</v>
      </c>
      <c r="R1183" s="276">
        <v>1.125</v>
      </c>
    </row>
    <row r="1184" spans="17:18">
      <c r="Q1184" s="275">
        <f t="shared" si="58"/>
        <v>1.1469999999999845</v>
      </c>
      <c r="R1184" s="276">
        <v>1.125</v>
      </c>
    </row>
    <row r="1185" spans="17:18">
      <c r="Q1185" s="275">
        <f t="shared" si="58"/>
        <v>1.1479999999999844</v>
      </c>
      <c r="R1185" s="276">
        <v>1.125</v>
      </c>
    </row>
    <row r="1186" spans="17:18">
      <c r="Q1186" s="275">
        <f t="shared" si="58"/>
        <v>1.1489999999999843</v>
      </c>
      <c r="R1186" s="276">
        <v>1.125</v>
      </c>
    </row>
    <row r="1187" spans="17:18">
      <c r="Q1187" s="275">
        <f t="shared" si="58"/>
        <v>1.1499999999999841</v>
      </c>
      <c r="R1187" s="276">
        <v>1.125</v>
      </c>
    </row>
    <row r="1188" spans="17:18">
      <c r="Q1188" s="275">
        <f t="shared" si="58"/>
        <v>1.150999999999984</v>
      </c>
      <c r="R1188" s="276">
        <v>1.125</v>
      </c>
    </row>
    <row r="1189" spans="17:18">
      <c r="Q1189" s="275">
        <f t="shared" si="58"/>
        <v>1.1519999999999839</v>
      </c>
      <c r="R1189" s="276">
        <v>1.125</v>
      </c>
    </row>
    <row r="1190" spans="17:18">
      <c r="Q1190" s="275">
        <f t="shared" si="58"/>
        <v>1.1529999999999838</v>
      </c>
      <c r="R1190" s="276">
        <v>1.125</v>
      </c>
    </row>
    <row r="1191" spans="17:18">
      <c r="Q1191" s="275">
        <f t="shared" ref="Q1191:Q1254" si="59">Q1190+0.001</f>
        <v>1.1539999999999837</v>
      </c>
      <c r="R1191" s="276">
        <v>1.125</v>
      </c>
    </row>
    <row r="1192" spans="17:18">
      <c r="Q1192" s="275">
        <f t="shared" si="59"/>
        <v>1.1549999999999836</v>
      </c>
      <c r="R1192" s="276">
        <v>1.125</v>
      </c>
    </row>
    <row r="1193" spans="17:18">
      <c r="Q1193" s="275">
        <f t="shared" si="59"/>
        <v>1.1559999999999835</v>
      </c>
      <c r="R1193" s="276">
        <v>1.125</v>
      </c>
    </row>
    <row r="1194" spans="17:18">
      <c r="Q1194" s="275">
        <f t="shared" si="59"/>
        <v>1.1569999999999834</v>
      </c>
      <c r="R1194" s="276">
        <v>1.125</v>
      </c>
    </row>
    <row r="1195" spans="17:18">
      <c r="Q1195" s="275">
        <f t="shared" si="59"/>
        <v>1.1579999999999833</v>
      </c>
      <c r="R1195" s="276">
        <v>1.125</v>
      </c>
    </row>
    <row r="1196" spans="17:18">
      <c r="Q1196" s="275">
        <f t="shared" si="59"/>
        <v>1.1589999999999832</v>
      </c>
      <c r="R1196" s="276">
        <v>1.125</v>
      </c>
    </row>
    <row r="1197" spans="17:18">
      <c r="Q1197" s="275">
        <f t="shared" si="59"/>
        <v>1.159999999999983</v>
      </c>
      <c r="R1197" s="276">
        <v>1.125</v>
      </c>
    </row>
    <row r="1198" spans="17:18">
      <c r="Q1198" s="275">
        <f t="shared" si="59"/>
        <v>1.1609999999999829</v>
      </c>
      <c r="R1198" s="276">
        <v>1.125</v>
      </c>
    </row>
    <row r="1199" spans="17:18">
      <c r="Q1199" s="275">
        <f t="shared" si="59"/>
        <v>1.1619999999999828</v>
      </c>
      <c r="R1199" s="276">
        <v>1.125</v>
      </c>
    </row>
    <row r="1200" spans="17:18">
      <c r="Q1200" s="275">
        <f t="shared" si="59"/>
        <v>1.1629999999999827</v>
      </c>
      <c r="R1200" s="276">
        <v>1.125</v>
      </c>
    </row>
    <row r="1201" spans="17:18">
      <c r="Q1201" s="275">
        <f t="shared" si="59"/>
        <v>1.1639999999999826</v>
      </c>
      <c r="R1201" s="276">
        <v>1.125</v>
      </c>
    </row>
    <row r="1202" spans="17:18">
      <c r="Q1202" s="275">
        <f t="shared" si="59"/>
        <v>1.1649999999999825</v>
      </c>
      <c r="R1202" s="276">
        <v>1.125</v>
      </c>
    </row>
    <row r="1203" spans="17:18">
      <c r="Q1203" s="275">
        <f t="shared" si="59"/>
        <v>1.1659999999999824</v>
      </c>
      <c r="R1203" s="276">
        <v>1.125</v>
      </c>
    </row>
    <row r="1204" spans="17:18">
      <c r="Q1204" s="275">
        <f t="shared" si="59"/>
        <v>1.1669999999999823</v>
      </c>
      <c r="R1204" s="276">
        <v>1.125</v>
      </c>
    </row>
    <row r="1205" spans="17:18">
      <c r="Q1205" s="275">
        <f t="shared" si="59"/>
        <v>1.1679999999999822</v>
      </c>
      <c r="R1205" s="276">
        <v>1.125</v>
      </c>
    </row>
    <row r="1206" spans="17:18">
      <c r="Q1206" s="275">
        <f t="shared" si="59"/>
        <v>1.1689999999999821</v>
      </c>
      <c r="R1206" s="276">
        <v>1.125</v>
      </c>
    </row>
    <row r="1207" spans="17:18">
      <c r="Q1207" s="275">
        <f t="shared" si="59"/>
        <v>1.1699999999999819</v>
      </c>
      <c r="R1207" s="276">
        <v>1.125</v>
      </c>
    </row>
    <row r="1208" spans="17:18">
      <c r="Q1208" s="275">
        <f t="shared" si="59"/>
        <v>1.1709999999999818</v>
      </c>
      <c r="R1208" s="276">
        <v>1.125</v>
      </c>
    </row>
    <row r="1209" spans="17:18">
      <c r="Q1209" s="275">
        <f t="shared" si="59"/>
        <v>1.1719999999999817</v>
      </c>
      <c r="R1209" s="276">
        <v>1.125</v>
      </c>
    </row>
    <row r="1210" spans="17:18">
      <c r="Q1210" s="275">
        <f t="shared" si="59"/>
        <v>1.1729999999999816</v>
      </c>
      <c r="R1210" s="276">
        <v>1.125</v>
      </c>
    </row>
    <row r="1211" spans="17:18">
      <c r="Q1211" s="275">
        <f t="shared" si="59"/>
        <v>1.1739999999999815</v>
      </c>
      <c r="R1211" s="276">
        <v>1.125</v>
      </c>
    </row>
    <row r="1212" spans="17:18">
      <c r="Q1212" s="275">
        <f t="shared" si="59"/>
        <v>1.1749999999999814</v>
      </c>
      <c r="R1212" s="276">
        <v>1.125</v>
      </c>
    </row>
    <row r="1213" spans="17:18">
      <c r="Q1213" s="275">
        <f t="shared" si="59"/>
        <v>1.1759999999999813</v>
      </c>
      <c r="R1213" s="276">
        <v>1.125</v>
      </c>
    </row>
    <row r="1214" spans="17:18">
      <c r="Q1214" s="275">
        <f t="shared" si="59"/>
        <v>1.1769999999999812</v>
      </c>
      <c r="R1214" s="276">
        <v>1.125</v>
      </c>
    </row>
    <row r="1215" spans="17:18">
      <c r="Q1215" s="275">
        <f t="shared" si="59"/>
        <v>1.1779999999999811</v>
      </c>
      <c r="R1215" s="276">
        <v>1.125</v>
      </c>
    </row>
    <row r="1216" spans="17:18">
      <c r="Q1216" s="275">
        <f t="shared" si="59"/>
        <v>1.178999999999981</v>
      </c>
      <c r="R1216" s="276">
        <v>1.125</v>
      </c>
    </row>
    <row r="1217" spans="17:18">
      <c r="Q1217" s="275">
        <f t="shared" si="59"/>
        <v>1.1799999999999808</v>
      </c>
      <c r="R1217" s="276">
        <v>1.125</v>
      </c>
    </row>
    <row r="1218" spans="17:18">
      <c r="Q1218" s="275">
        <f t="shared" si="59"/>
        <v>1.1809999999999807</v>
      </c>
      <c r="R1218" s="276">
        <v>1.125</v>
      </c>
    </row>
    <row r="1219" spans="17:18">
      <c r="Q1219" s="275">
        <f t="shared" si="59"/>
        <v>1.1819999999999806</v>
      </c>
      <c r="R1219" s="276">
        <v>1.125</v>
      </c>
    </row>
    <row r="1220" spans="17:18">
      <c r="Q1220" s="275">
        <f t="shared" si="59"/>
        <v>1.1829999999999805</v>
      </c>
      <c r="R1220" s="276">
        <v>1.125</v>
      </c>
    </row>
    <row r="1221" spans="17:18">
      <c r="Q1221" s="275">
        <f t="shared" si="59"/>
        <v>1.1839999999999804</v>
      </c>
      <c r="R1221" s="276">
        <v>1.125</v>
      </c>
    </row>
    <row r="1222" spans="17:18">
      <c r="Q1222" s="275">
        <f t="shared" si="59"/>
        <v>1.1849999999999803</v>
      </c>
      <c r="R1222" s="276">
        <v>1.125</v>
      </c>
    </row>
    <row r="1223" spans="17:18">
      <c r="Q1223" s="275">
        <f t="shared" si="59"/>
        <v>1.1859999999999802</v>
      </c>
      <c r="R1223" s="276">
        <v>1.125</v>
      </c>
    </row>
    <row r="1224" spans="17:18">
      <c r="Q1224" s="275">
        <f t="shared" si="59"/>
        <v>1.1869999999999801</v>
      </c>
      <c r="R1224" s="276">
        <v>1.125</v>
      </c>
    </row>
    <row r="1225" spans="17:18">
      <c r="Q1225" s="275">
        <f t="shared" si="59"/>
        <v>1.18799999999998</v>
      </c>
      <c r="R1225" s="276">
        <v>1.125</v>
      </c>
    </row>
    <row r="1226" spans="17:18">
      <c r="Q1226" s="275">
        <f t="shared" si="59"/>
        <v>1.1889999999999799</v>
      </c>
      <c r="R1226" s="276">
        <v>1.125</v>
      </c>
    </row>
    <row r="1227" spans="17:18">
      <c r="Q1227" s="275">
        <f t="shared" si="59"/>
        <v>1.1899999999999797</v>
      </c>
      <c r="R1227" s="276">
        <v>1.125</v>
      </c>
    </row>
    <row r="1228" spans="17:18">
      <c r="Q1228" s="275">
        <f t="shared" si="59"/>
        <v>1.1909999999999796</v>
      </c>
      <c r="R1228" s="276">
        <v>1.125</v>
      </c>
    </row>
    <row r="1229" spans="17:18">
      <c r="Q1229" s="275">
        <f t="shared" si="59"/>
        <v>1.1919999999999795</v>
      </c>
      <c r="R1229" s="276">
        <v>1.125</v>
      </c>
    </row>
    <row r="1230" spans="17:18">
      <c r="Q1230" s="275">
        <f t="shared" si="59"/>
        <v>1.1929999999999794</v>
      </c>
      <c r="R1230" s="276">
        <v>1.125</v>
      </c>
    </row>
    <row r="1231" spans="17:18">
      <c r="Q1231" s="275">
        <f t="shared" si="59"/>
        <v>1.1939999999999793</v>
      </c>
      <c r="R1231" s="276">
        <v>1.125</v>
      </c>
    </row>
    <row r="1232" spans="17:18">
      <c r="Q1232" s="275">
        <f t="shared" si="59"/>
        <v>1.1949999999999792</v>
      </c>
      <c r="R1232" s="276">
        <v>1.125</v>
      </c>
    </row>
    <row r="1233" spans="17:18">
      <c r="Q1233" s="275">
        <f t="shared" si="59"/>
        <v>1.1959999999999791</v>
      </c>
      <c r="R1233" s="276">
        <v>1.125</v>
      </c>
    </row>
    <row r="1234" spans="17:18">
      <c r="Q1234" s="275">
        <f t="shared" si="59"/>
        <v>1.196999999999979</v>
      </c>
      <c r="R1234" s="276">
        <v>1.125</v>
      </c>
    </row>
    <row r="1235" spans="17:18">
      <c r="Q1235" s="275">
        <f t="shared" si="59"/>
        <v>1.1979999999999789</v>
      </c>
      <c r="R1235" s="276">
        <v>1.125</v>
      </c>
    </row>
    <row r="1236" spans="17:18">
      <c r="Q1236" s="275">
        <f t="shared" si="59"/>
        <v>1.1989999999999787</v>
      </c>
      <c r="R1236" s="276">
        <v>1.125</v>
      </c>
    </row>
    <row r="1237" spans="17:18">
      <c r="Q1237" s="275">
        <f t="shared" si="59"/>
        <v>1.1999999999999786</v>
      </c>
      <c r="R1237" s="276">
        <v>1.125</v>
      </c>
    </row>
    <row r="1238" spans="17:18">
      <c r="Q1238" s="275">
        <f t="shared" si="59"/>
        <v>1.2009999999999785</v>
      </c>
      <c r="R1238" s="276">
        <v>1.125</v>
      </c>
    </row>
    <row r="1239" spans="17:18">
      <c r="Q1239" s="275">
        <f t="shared" si="59"/>
        <v>1.2019999999999784</v>
      </c>
      <c r="R1239" s="276">
        <v>1.125</v>
      </c>
    </row>
    <row r="1240" spans="17:18">
      <c r="Q1240" s="275">
        <f t="shared" si="59"/>
        <v>1.2029999999999783</v>
      </c>
      <c r="R1240" s="276">
        <v>1.125</v>
      </c>
    </row>
    <row r="1241" spans="17:18">
      <c r="Q1241" s="275">
        <f t="shared" si="59"/>
        <v>1.2039999999999782</v>
      </c>
      <c r="R1241" s="276">
        <v>1.125</v>
      </c>
    </row>
    <row r="1242" spans="17:18">
      <c r="Q1242" s="275">
        <f t="shared" si="59"/>
        <v>1.2049999999999781</v>
      </c>
      <c r="R1242" s="276">
        <v>1.125</v>
      </c>
    </row>
    <row r="1243" spans="17:18">
      <c r="Q1243" s="275">
        <f t="shared" si="59"/>
        <v>1.205999999999978</v>
      </c>
      <c r="R1243" s="276">
        <v>1.125</v>
      </c>
    </row>
    <row r="1244" spans="17:18">
      <c r="Q1244" s="275">
        <f t="shared" si="59"/>
        <v>1.2069999999999779</v>
      </c>
      <c r="R1244" s="276">
        <v>1.125</v>
      </c>
    </row>
    <row r="1245" spans="17:18">
      <c r="Q1245" s="275">
        <f t="shared" si="59"/>
        <v>1.2079999999999778</v>
      </c>
      <c r="R1245" s="276">
        <v>1.125</v>
      </c>
    </row>
    <row r="1246" spans="17:18">
      <c r="Q1246" s="275">
        <f t="shared" si="59"/>
        <v>1.2089999999999776</v>
      </c>
      <c r="R1246" s="276">
        <v>1.125</v>
      </c>
    </row>
    <row r="1247" spans="17:18">
      <c r="Q1247" s="275">
        <f t="shared" si="59"/>
        <v>1.2099999999999775</v>
      </c>
      <c r="R1247" s="276">
        <v>1.125</v>
      </c>
    </row>
    <row r="1248" spans="17:18">
      <c r="Q1248" s="275">
        <f t="shared" si="59"/>
        <v>1.2109999999999774</v>
      </c>
      <c r="R1248" s="276">
        <v>1.125</v>
      </c>
    </row>
    <row r="1249" spans="17:18">
      <c r="Q1249" s="275">
        <f t="shared" si="59"/>
        <v>1.2119999999999773</v>
      </c>
      <c r="R1249" s="276">
        <v>1.125</v>
      </c>
    </row>
    <row r="1250" spans="17:18">
      <c r="Q1250" s="275">
        <f t="shared" si="59"/>
        <v>1.2129999999999772</v>
      </c>
      <c r="R1250" s="276">
        <v>1.125</v>
      </c>
    </row>
    <row r="1251" spans="17:18">
      <c r="Q1251" s="275">
        <f t="shared" si="59"/>
        <v>1.2139999999999771</v>
      </c>
      <c r="R1251" s="276">
        <v>1.125</v>
      </c>
    </row>
    <row r="1252" spans="17:18">
      <c r="Q1252" s="275">
        <f t="shared" si="59"/>
        <v>1.214999999999977</v>
      </c>
      <c r="R1252" s="276">
        <v>1.125</v>
      </c>
    </row>
    <row r="1253" spans="17:18">
      <c r="Q1253" s="275">
        <f t="shared" si="59"/>
        <v>1.2159999999999769</v>
      </c>
      <c r="R1253" s="276">
        <v>1.125</v>
      </c>
    </row>
    <row r="1254" spans="17:18">
      <c r="Q1254" s="275">
        <f t="shared" si="59"/>
        <v>1.2169999999999768</v>
      </c>
      <c r="R1254" s="276">
        <v>1.125</v>
      </c>
    </row>
    <row r="1255" spans="17:18">
      <c r="Q1255" s="275">
        <f t="shared" ref="Q1255:Q1318" si="60">Q1254+0.001</f>
        <v>1.2179999999999767</v>
      </c>
      <c r="R1255" s="276">
        <v>1.125</v>
      </c>
    </row>
    <row r="1256" spans="17:18">
      <c r="Q1256" s="275">
        <f t="shared" si="60"/>
        <v>1.2189999999999765</v>
      </c>
      <c r="R1256" s="276">
        <v>1.125</v>
      </c>
    </row>
    <row r="1257" spans="17:18">
      <c r="Q1257" s="275">
        <f t="shared" si="60"/>
        <v>1.2199999999999764</v>
      </c>
      <c r="R1257" s="276">
        <v>1.125</v>
      </c>
    </row>
    <row r="1258" spans="17:18">
      <c r="Q1258" s="275">
        <f t="shared" si="60"/>
        <v>1.2209999999999763</v>
      </c>
      <c r="R1258" s="276">
        <v>1.125</v>
      </c>
    </row>
    <row r="1259" spans="17:18">
      <c r="Q1259" s="275">
        <f t="shared" si="60"/>
        <v>1.2219999999999762</v>
      </c>
      <c r="R1259" s="276">
        <v>1.125</v>
      </c>
    </row>
    <row r="1260" spans="17:18">
      <c r="Q1260" s="275">
        <f t="shared" si="60"/>
        <v>1.2229999999999761</v>
      </c>
      <c r="R1260" s="276">
        <v>1.125</v>
      </c>
    </row>
    <row r="1261" spans="17:18">
      <c r="Q1261" s="275">
        <f t="shared" si="60"/>
        <v>1.223999999999976</v>
      </c>
      <c r="R1261" s="276">
        <v>1.125</v>
      </c>
    </row>
    <row r="1262" spans="17:18">
      <c r="Q1262" s="275">
        <f t="shared" si="60"/>
        <v>1.2249999999999759</v>
      </c>
      <c r="R1262" s="276">
        <v>1.125</v>
      </c>
    </row>
    <row r="1263" spans="17:18">
      <c r="Q1263" s="275">
        <f t="shared" si="60"/>
        <v>1.2259999999999758</v>
      </c>
      <c r="R1263" s="276">
        <v>1.25</v>
      </c>
    </row>
    <row r="1264" spans="17:18">
      <c r="Q1264" s="275">
        <f t="shared" si="60"/>
        <v>1.2269999999999757</v>
      </c>
      <c r="R1264" s="276">
        <v>1.25</v>
      </c>
    </row>
    <row r="1265" spans="17:18">
      <c r="Q1265" s="275">
        <f t="shared" si="60"/>
        <v>1.2279999999999756</v>
      </c>
      <c r="R1265" s="276">
        <v>1.25</v>
      </c>
    </row>
    <row r="1266" spans="17:18">
      <c r="Q1266" s="275">
        <f t="shared" si="60"/>
        <v>1.2289999999999754</v>
      </c>
      <c r="R1266" s="276">
        <v>1.25</v>
      </c>
    </row>
    <row r="1267" spans="17:18">
      <c r="Q1267" s="275">
        <f t="shared" si="60"/>
        <v>1.2299999999999753</v>
      </c>
      <c r="R1267" s="276">
        <v>1.25</v>
      </c>
    </row>
    <row r="1268" spans="17:18">
      <c r="Q1268" s="275">
        <f t="shared" si="60"/>
        <v>1.2309999999999752</v>
      </c>
      <c r="R1268" s="276">
        <v>1.25</v>
      </c>
    </row>
    <row r="1269" spans="17:18">
      <c r="Q1269" s="275">
        <f t="shared" si="60"/>
        <v>1.2319999999999751</v>
      </c>
      <c r="R1269" s="276">
        <v>1.25</v>
      </c>
    </row>
    <row r="1270" spans="17:18">
      <c r="Q1270" s="275">
        <f t="shared" si="60"/>
        <v>1.232999999999975</v>
      </c>
      <c r="R1270" s="276">
        <v>1.25</v>
      </c>
    </row>
    <row r="1271" spans="17:18">
      <c r="Q1271" s="275">
        <f t="shared" si="60"/>
        <v>1.2339999999999749</v>
      </c>
      <c r="R1271" s="276">
        <v>1.25</v>
      </c>
    </row>
    <row r="1272" spans="17:18">
      <c r="Q1272" s="275">
        <f t="shared" si="60"/>
        <v>1.2349999999999748</v>
      </c>
      <c r="R1272" s="276">
        <v>1.25</v>
      </c>
    </row>
    <row r="1273" spans="17:18">
      <c r="Q1273" s="275">
        <f t="shared" si="60"/>
        <v>1.2359999999999747</v>
      </c>
      <c r="R1273" s="276">
        <v>1.25</v>
      </c>
    </row>
    <row r="1274" spans="17:18">
      <c r="Q1274" s="275">
        <f t="shared" si="60"/>
        <v>1.2369999999999746</v>
      </c>
      <c r="R1274" s="276">
        <v>1.25</v>
      </c>
    </row>
    <row r="1275" spans="17:18">
      <c r="Q1275" s="275">
        <f t="shared" si="60"/>
        <v>1.2379999999999745</v>
      </c>
      <c r="R1275" s="276">
        <v>1.25</v>
      </c>
    </row>
    <row r="1276" spans="17:18">
      <c r="Q1276" s="275">
        <f t="shared" si="60"/>
        <v>1.2389999999999743</v>
      </c>
      <c r="R1276" s="276">
        <v>1.25</v>
      </c>
    </row>
    <row r="1277" spans="17:18">
      <c r="Q1277" s="275">
        <f t="shared" si="60"/>
        <v>1.2399999999999742</v>
      </c>
      <c r="R1277" s="276">
        <v>1.25</v>
      </c>
    </row>
    <row r="1278" spans="17:18">
      <c r="Q1278" s="275">
        <f t="shared" si="60"/>
        <v>1.2409999999999741</v>
      </c>
      <c r="R1278" s="276">
        <v>1.25</v>
      </c>
    </row>
    <row r="1279" spans="17:18">
      <c r="Q1279" s="275">
        <f t="shared" si="60"/>
        <v>1.241999999999974</v>
      </c>
      <c r="R1279" s="276">
        <v>1.25</v>
      </c>
    </row>
    <row r="1280" spans="17:18">
      <c r="Q1280" s="275">
        <f t="shared" si="60"/>
        <v>1.2429999999999739</v>
      </c>
      <c r="R1280" s="276">
        <v>1.25</v>
      </c>
    </row>
    <row r="1281" spans="17:18">
      <c r="Q1281" s="275">
        <f t="shared" si="60"/>
        <v>1.2439999999999738</v>
      </c>
      <c r="R1281" s="276">
        <v>1.25</v>
      </c>
    </row>
    <row r="1282" spans="17:18">
      <c r="Q1282" s="275">
        <f t="shared" si="60"/>
        <v>1.2449999999999737</v>
      </c>
      <c r="R1282" s="276">
        <v>1.25</v>
      </c>
    </row>
    <row r="1283" spans="17:18">
      <c r="Q1283" s="275">
        <f t="shared" si="60"/>
        <v>1.2459999999999736</v>
      </c>
      <c r="R1283" s="276">
        <v>1.25</v>
      </c>
    </row>
    <row r="1284" spans="17:18">
      <c r="Q1284" s="275">
        <f t="shared" si="60"/>
        <v>1.2469999999999735</v>
      </c>
      <c r="R1284" s="276">
        <v>1.25</v>
      </c>
    </row>
    <row r="1285" spans="17:18">
      <c r="Q1285" s="275">
        <f t="shared" si="60"/>
        <v>1.2479999999999734</v>
      </c>
      <c r="R1285" s="276">
        <v>1.25</v>
      </c>
    </row>
    <row r="1286" spans="17:18">
      <c r="Q1286" s="275">
        <f t="shared" si="60"/>
        <v>1.2489999999999732</v>
      </c>
      <c r="R1286" s="276">
        <v>1.25</v>
      </c>
    </row>
    <row r="1287" spans="17:18">
      <c r="Q1287" s="275">
        <f t="shared" si="60"/>
        <v>1.2499999999999731</v>
      </c>
      <c r="R1287" s="276">
        <v>1.25</v>
      </c>
    </row>
    <row r="1288" spans="17:18">
      <c r="Q1288" s="275">
        <f t="shared" si="60"/>
        <v>1.250999999999973</v>
      </c>
      <c r="R1288" s="276">
        <v>1.5</v>
      </c>
    </row>
    <row r="1289" spans="17:18">
      <c r="Q1289" s="275">
        <f t="shared" si="60"/>
        <v>1.2519999999999729</v>
      </c>
      <c r="R1289" s="276">
        <v>1.5</v>
      </c>
    </row>
    <row r="1290" spans="17:18">
      <c r="Q1290" s="275">
        <f t="shared" si="60"/>
        <v>1.2529999999999728</v>
      </c>
      <c r="R1290" s="276">
        <v>1.5</v>
      </c>
    </row>
    <row r="1291" spans="17:18">
      <c r="Q1291" s="275">
        <f t="shared" si="60"/>
        <v>1.2539999999999727</v>
      </c>
      <c r="R1291" s="276">
        <v>1.5</v>
      </c>
    </row>
    <row r="1292" spans="17:18">
      <c r="Q1292" s="275">
        <f t="shared" si="60"/>
        <v>1.2549999999999726</v>
      </c>
      <c r="R1292" s="276">
        <v>1.5</v>
      </c>
    </row>
    <row r="1293" spans="17:18">
      <c r="Q1293" s="275">
        <f t="shared" si="60"/>
        <v>1.2559999999999725</v>
      </c>
      <c r="R1293" s="276">
        <v>1.5</v>
      </c>
    </row>
    <row r="1294" spans="17:18">
      <c r="Q1294" s="275">
        <f t="shared" si="60"/>
        <v>1.2569999999999724</v>
      </c>
      <c r="R1294" s="276">
        <v>1.5</v>
      </c>
    </row>
    <row r="1295" spans="17:18">
      <c r="Q1295" s="275">
        <f t="shared" si="60"/>
        <v>1.2579999999999723</v>
      </c>
      <c r="R1295" s="276">
        <v>1.5</v>
      </c>
    </row>
    <row r="1296" spans="17:18">
      <c r="Q1296" s="275">
        <f t="shared" si="60"/>
        <v>1.2589999999999721</v>
      </c>
      <c r="R1296" s="276">
        <v>1.5</v>
      </c>
    </row>
    <row r="1297" spans="17:18">
      <c r="Q1297" s="275">
        <f t="shared" si="60"/>
        <v>1.259999999999972</v>
      </c>
      <c r="R1297" s="276">
        <v>1.5</v>
      </c>
    </row>
    <row r="1298" spans="17:18">
      <c r="Q1298" s="275">
        <f t="shared" si="60"/>
        <v>1.2609999999999719</v>
      </c>
      <c r="R1298" s="276">
        <v>1.5</v>
      </c>
    </row>
    <row r="1299" spans="17:18">
      <c r="Q1299" s="275">
        <f t="shared" si="60"/>
        <v>1.2619999999999718</v>
      </c>
      <c r="R1299" s="276">
        <v>1.5</v>
      </c>
    </row>
    <row r="1300" spans="17:18">
      <c r="Q1300" s="275">
        <f t="shared" si="60"/>
        <v>1.2629999999999717</v>
      </c>
      <c r="R1300" s="276">
        <v>1.5</v>
      </c>
    </row>
    <row r="1301" spans="17:18">
      <c r="Q1301" s="275">
        <f t="shared" si="60"/>
        <v>1.2639999999999716</v>
      </c>
      <c r="R1301" s="276">
        <v>1.5</v>
      </c>
    </row>
    <row r="1302" spans="17:18">
      <c r="Q1302" s="275">
        <f t="shared" si="60"/>
        <v>1.2649999999999715</v>
      </c>
      <c r="R1302" s="276">
        <v>1.5</v>
      </c>
    </row>
    <row r="1303" spans="17:18">
      <c r="Q1303" s="275">
        <f t="shared" si="60"/>
        <v>1.2659999999999714</v>
      </c>
      <c r="R1303" s="276">
        <v>1.5</v>
      </c>
    </row>
    <row r="1304" spans="17:18">
      <c r="Q1304" s="275">
        <f t="shared" si="60"/>
        <v>1.2669999999999713</v>
      </c>
      <c r="R1304" s="276">
        <v>1.5</v>
      </c>
    </row>
    <row r="1305" spans="17:18">
      <c r="Q1305" s="275">
        <f t="shared" si="60"/>
        <v>1.2679999999999712</v>
      </c>
      <c r="R1305" s="276">
        <v>1.5</v>
      </c>
    </row>
    <row r="1306" spans="17:18">
      <c r="Q1306" s="275">
        <f t="shared" si="60"/>
        <v>1.268999999999971</v>
      </c>
      <c r="R1306" s="276">
        <v>1.5</v>
      </c>
    </row>
    <row r="1307" spans="17:18">
      <c r="Q1307" s="275">
        <f t="shared" si="60"/>
        <v>1.2699999999999709</v>
      </c>
      <c r="R1307" s="276">
        <v>1.5</v>
      </c>
    </row>
    <row r="1308" spans="17:18">
      <c r="Q1308" s="275">
        <f t="shared" si="60"/>
        <v>1.2709999999999708</v>
      </c>
      <c r="R1308" s="276">
        <v>1.5</v>
      </c>
    </row>
    <row r="1309" spans="17:18">
      <c r="Q1309" s="275">
        <f t="shared" si="60"/>
        <v>1.2719999999999707</v>
      </c>
      <c r="R1309" s="276">
        <v>1.5</v>
      </c>
    </row>
    <row r="1310" spans="17:18">
      <c r="Q1310" s="275">
        <f t="shared" si="60"/>
        <v>1.2729999999999706</v>
      </c>
      <c r="R1310" s="276">
        <v>1.5</v>
      </c>
    </row>
    <row r="1311" spans="17:18">
      <c r="Q1311" s="275">
        <f t="shared" si="60"/>
        <v>1.2739999999999705</v>
      </c>
      <c r="R1311" s="276">
        <v>1.5</v>
      </c>
    </row>
    <row r="1312" spans="17:18">
      <c r="Q1312" s="275">
        <f t="shared" si="60"/>
        <v>1.2749999999999704</v>
      </c>
      <c r="R1312" s="276">
        <v>1.5</v>
      </c>
    </row>
    <row r="1313" spans="17:18">
      <c r="Q1313" s="275">
        <f t="shared" si="60"/>
        <v>1.2759999999999703</v>
      </c>
      <c r="R1313" s="276">
        <v>1.5</v>
      </c>
    </row>
    <row r="1314" spans="17:18">
      <c r="Q1314" s="275">
        <f t="shared" si="60"/>
        <v>1.2769999999999702</v>
      </c>
      <c r="R1314" s="276">
        <v>1.5</v>
      </c>
    </row>
    <row r="1315" spans="17:18">
      <c r="Q1315" s="275">
        <f t="shared" si="60"/>
        <v>1.27799999999997</v>
      </c>
      <c r="R1315" s="276">
        <v>1.5</v>
      </c>
    </row>
    <row r="1316" spans="17:18">
      <c r="Q1316" s="275">
        <f t="shared" si="60"/>
        <v>1.2789999999999699</v>
      </c>
      <c r="R1316" s="276">
        <v>1.5</v>
      </c>
    </row>
    <row r="1317" spans="17:18">
      <c r="Q1317" s="275">
        <f t="shared" si="60"/>
        <v>1.2799999999999698</v>
      </c>
      <c r="R1317" s="276">
        <v>1.5</v>
      </c>
    </row>
    <row r="1318" spans="17:18">
      <c r="Q1318" s="275">
        <f t="shared" si="60"/>
        <v>1.2809999999999697</v>
      </c>
      <c r="R1318" s="276">
        <v>1.5</v>
      </c>
    </row>
    <row r="1319" spans="17:18">
      <c r="Q1319" s="275">
        <f t="shared" ref="Q1319:Q1382" si="61">Q1318+0.001</f>
        <v>1.2819999999999696</v>
      </c>
      <c r="R1319" s="276">
        <v>1.5</v>
      </c>
    </row>
    <row r="1320" spans="17:18">
      <c r="Q1320" s="275">
        <f t="shared" si="61"/>
        <v>1.2829999999999695</v>
      </c>
      <c r="R1320" s="276">
        <v>1.5</v>
      </c>
    </row>
    <row r="1321" spans="17:18">
      <c r="Q1321" s="275">
        <f t="shared" si="61"/>
        <v>1.2839999999999694</v>
      </c>
      <c r="R1321" s="276">
        <v>1.5</v>
      </c>
    </row>
    <row r="1322" spans="17:18">
      <c r="Q1322" s="275">
        <f t="shared" si="61"/>
        <v>1.2849999999999693</v>
      </c>
      <c r="R1322" s="276">
        <v>1.5</v>
      </c>
    </row>
    <row r="1323" spans="17:18">
      <c r="Q1323" s="275">
        <f t="shared" si="61"/>
        <v>1.2859999999999692</v>
      </c>
      <c r="R1323" s="276">
        <v>1.5</v>
      </c>
    </row>
    <row r="1324" spans="17:18">
      <c r="Q1324" s="275">
        <f t="shared" si="61"/>
        <v>1.2869999999999691</v>
      </c>
      <c r="R1324" s="276">
        <v>1.5</v>
      </c>
    </row>
    <row r="1325" spans="17:18">
      <c r="Q1325" s="275">
        <f t="shared" si="61"/>
        <v>1.2879999999999689</v>
      </c>
      <c r="R1325" s="276">
        <v>1.5</v>
      </c>
    </row>
    <row r="1326" spans="17:18">
      <c r="Q1326" s="275">
        <f t="shared" si="61"/>
        <v>1.2889999999999688</v>
      </c>
      <c r="R1326" s="276">
        <v>1.5</v>
      </c>
    </row>
    <row r="1327" spans="17:18">
      <c r="Q1327" s="275">
        <f t="shared" si="61"/>
        <v>1.2899999999999687</v>
      </c>
      <c r="R1327" s="276">
        <v>1.5</v>
      </c>
    </row>
    <row r="1328" spans="17:18">
      <c r="Q1328" s="275">
        <f t="shared" si="61"/>
        <v>1.2909999999999686</v>
      </c>
      <c r="R1328" s="276">
        <v>1.5</v>
      </c>
    </row>
    <row r="1329" spans="17:18">
      <c r="Q1329" s="275">
        <f t="shared" si="61"/>
        <v>1.2919999999999685</v>
      </c>
      <c r="R1329" s="276">
        <v>1.5</v>
      </c>
    </row>
    <row r="1330" spans="17:18">
      <c r="Q1330" s="275">
        <f t="shared" si="61"/>
        <v>1.2929999999999684</v>
      </c>
      <c r="R1330" s="276">
        <v>1.5</v>
      </c>
    </row>
    <row r="1331" spans="17:18">
      <c r="Q1331" s="275">
        <f t="shared" si="61"/>
        <v>1.2939999999999683</v>
      </c>
      <c r="R1331" s="276">
        <v>1.5</v>
      </c>
    </row>
    <row r="1332" spans="17:18">
      <c r="Q1332" s="275">
        <f t="shared" si="61"/>
        <v>1.2949999999999682</v>
      </c>
      <c r="R1332" s="276">
        <v>1.5</v>
      </c>
    </row>
    <row r="1333" spans="17:18">
      <c r="Q1333" s="275">
        <f t="shared" si="61"/>
        <v>1.2959999999999681</v>
      </c>
      <c r="R1333" s="276">
        <v>1.5</v>
      </c>
    </row>
    <row r="1334" spans="17:18">
      <c r="Q1334" s="275">
        <f t="shared" si="61"/>
        <v>1.296999999999968</v>
      </c>
      <c r="R1334" s="276">
        <v>1.5</v>
      </c>
    </row>
    <row r="1335" spans="17:18">
      <c r="Q1335" s="275">
        <f t="shared" si="61"/>
        <v>1.2979999999999678</v>
      </c>
      <c r="R1335" s="276">
        <v>1.5</v>
      </c>
    </row>
    <row r="1336" spans="17:18">
      <c r="Q1336" s="275">
        <f t="shared" si="61"/>
        <v>1.2989999999999677</v>
      </c>
      <c r="R1336" s="276">
        <v>1.5</v>
      </c>
    </row>
    <row r="1337" spans="17:18">
      <c r="Q1337" s="275">
        <f t="shared" si="61"/>
        <v>1.2999999999999676</v>
      </c>
      <c r="R1337" s="276">
        <v>1.5</v>
      </c>
    </row>
    <row r="1338" spans="17:18">
      <c r="Q1338" s="275">
        <f t="shared" si="61"/>
        <v>1.3009999999999675</v>
      </c>
      <c r="R1338" s="276">
        <v>1.5</v>
      </c>
    </row>
    <row r="1339" spans="17:18">
      <c r="Q1339" s="275">
        <f t="shared" si="61"/>
        <v>1.3019999999999674</v>
      </c>
      <c r="R1339" s="276">
        <v>1.5</v>
      </c>
    </row>
    <row r="1340" spans="17:18">
      <c r="Q1340" s="275">
        <f t="shared" si="61"/>
        <v>1.3029999999999673</v>
      </c>
      <c r="R1340" s="276">
        <v>1.5</v>
      </c>
    </row>
    <row r="1341" spans="17:18">
      <c r="Q1341" s="275">
        <f t="shared" si="61"/>
        <v>1.3039999999999672</v>
      </c>
      <c r="R1341" s="276">
        <v>1.5</v>
      </c>
    </row>
    <row r="1342" spans="17:18">
      <c r="Q1342" s="275">
        <f t="shared" si="61"/>
        <v>1.3049999999999671</v>
      </c>
      <c r="R1342" s="276">
        <v>1.5</v>
      </c>
    </row>
    <row r="1343" spans="17:18">
      <c r="Q1343" s="275">
        <f t="shared" si="61"/>
        <v>1.305999999999967</v>
      </c>
      <c r="R1343" s="276">
        <v>1.5</v>
      </c>
    </row>
    <row r="1344" spans="17:18">
      <c r="Q1344" s="275">
        <f t="shared" si="61"/>
        <v>1.3069999999999669</v>
      </c>
      <c r="R1344" s="276">
        <v>1.5</v>
      </c>
    </row>
    <row r="1345" spans="17:18">
      <c r="Q1345" s="275">
        <f t="shared" si="61"/>
        <v>1.3079999999999667</v>
      </c>
      <c r="R1345" s="276">
        <v>1.5</v>
      </c>
    </row>
    <row r="1346" spans="17:18">
      <c r="Q1346" s="275">
        <f t="shared" si="61"/>
        <v>1.3089999999999666</v>
      </c>
      <c r="R1346" s="276">
        <v>1.5</v>
      </c>
    </row>
    <row r="1347" spans="17:18">
      <c r="Q1347" s="275">
        <f t="shared" si="61"/>
        <v>1.3099999999999665</v>
      </c>
      <c r="R1347" s="276">
        <v>1.5</v>
      </c>
    </row>
    <row r="1348" spans="17:18">
      <c r="Q1348" s="275">
        <f t="shared" si="61"/>
        <v>1.3109999999999664</v>
      </c>
      <c r="R1348" s="276">
        <v>1.5</v>
      </c>
    </row>
    <row r="1349" spans="17:18">
      <c r="Q1349" s="275">
        <f t="shared" si="61"/>
        <v>1.3119999999999663</v>
      </c>
      <c r="R1349" s="276">
        <v>1.5</v>
      </c>
    </row>
    <row r="1350" spans="17:18">
      <c r="Q1350" s="275">
        <f t="shared" si="61"/>
        <v>1.3129999999999662</v>
      </c>
      <c r="R1350" s="276">
        <v>1.5</v>
      </c>
    </row>
    <row r="1351" spans="17:18">
      <c r="Q1351" s="275">
        <f t="shared" si="61"/>
        <v>1.3139999999999661</v>
      </c>
      <c r="R1351" s="276">
        <v>1.5</v>
      </c>
    </row>
    <row r="1352" spans="17:18">
      <c r="Q1352" s="275">
        <f t="shared" si="61"/>
        <v>1.314999999999966</v>
      </c>
      <c r="R1352" s="276">
        <v>1.5</v>
      </c>
    </row>
    <row r="1353" spans="17:18">
      <c r="Q1353" s="275">
        <f t="shared" si="61"/>
        <v>1.3159999999999659</v>
      </c>
      <c r="R1353" s="276">
        <v>1.5</v>
      </c>
    </row>
    <row r="1354" spans="17:18">
      <c r="Q1354" s="275">
        <f t="shared" si="61"/>
        <v>1.3169999999999658</v>
      </c>
      <c r="R1354" s="276">
        <v>1.5</v>
      </c>
    </row>
    <row r="1355" spans="17:18">
      <c r="Q1355" s="275">
        <f t="shared" si="61"/>
        <v>1.3179999999999656</v>
      </c>
      <c r="R1355" s="276">
        <v>1.5</v>
      </c>
    </row>
    <row r="1356" spans="17:18">
      <c r="Q1356" s="275">
        <f t="shared" si="61"/>
        <v>1.3189999999999655</v>
      </c>
      <c r="R1356" s="276">
        <v>1.5</v>
      </c>
    </row>
    <row r="1357" spans="17:18">
      <c r="Q1357" s="275">
        <f t="shared" si="61"/>
        <v>1.3199999999999654</v>
      </c>
      <c r="R1357" s="276">
        <v>1.5</v>
      </c>
    </row>
    <row r="1358" spans="17:18">
      <c r="Q1358" s="275">
        <f t="shared" si="61"/>
        <v>1.3209999999999653</v>
      </c>
      <c r="R1358" s="276">
        <v>1.5</v>
      </c>
    </row>
    <row r="1359" spans="17:18">
      <c r="Q1359" s="275">
        <f t="shared" si="61"/>
        <v>1.3219999999999652</v>
      </c>
      <c r="R1359" s="276">
        <v>1.5</v>
      </c>
    </row>
    <row r="1360" spans="17:18">
      <c r="Q1360" s="275">
        <f t="shared" si="61"/>
        <v>1.3229999999999651</v>
      </c>
      <c r="R1360" s="276">
        <v>1.5</v>
      </c>
    </row>
    <row r="1361" spans="17:18">
      <c r="Q1361" s="275">
        <f t="shared" si="61"/>
        <v>1.323999999999965</v>
      </c>
      <c r="R1361" s="276">
        <v>1.5</v>
      </c>
    </row>
    <row r="1362" spans="17:18">
      <c r="Q1362" s="275">
        <f t="shared" si="61"/>
        <v>1.3249999999999649</v>
      </c>
      <c r="R1362" s="276">
        <v>1.5</v>
      </c>
    </row>
    <row r="1363" spans="17:18">
      <c r="Q1363" s="275">
        <f t="shared" si="61"/>
        <v>1.3259999999999648</v>
      </c>
      <c r="R1363" s="276">
        <v>1.5</v>
      </c>
    </row>
    <row r="1364" spans="17:18">
      <c r="Q1364" s="275">
        <f t="shared" si="61"/>
        <v>1.3269999999999647</v>
      </c>
      <c r="R1364" s="276">
        <v>1.5</v>
      </c>
    </row>
    <row r="1365" spans="17:18">
      <c r="Q1365" s="275">
        <f t="shared" si="61"/>
        <v>1.3279999999999645</v>
      </c>
      <c r="R1365" s="276">
        <v>1.5</v>
      </c>
    </row>
    <row r="1366" spans="17:18">
      <c r="Q1366" s="275">
        <f t="shared" si="61"/>
        <v>1.3289999999999644</v>
      </c>
      <c r="R1366" s="276">
        <v>1.5</v>
      </c>
    </row>
    <row r="1367" spans="17:18">
      <c r="Q1367" s="275">
        <f t="shared" si="61"/>
        <v>1.3299999999999643</v>
      </c>
      <c r="R1367" s="276">
        <v>1.5</v>
      </c>
    </row>
    <row r="1368" spans="17:18">
      <c r="Q1368" s="275">
        <f t="shared" si="61"/>
        <v>1.3309999999999642</v>
      </c>
      <c r="R1368" s="276">
        <v>1.5</v>
      </c>
    </row>
    <row r="1369" spans="17:18">
      <c r="Q1369" s="275">
        <f t="shared" si="61"/>
        <v>1.3319999999999641</v>
      </c>
      <c r="R1369" s="276">
        <v>1.5</v>
      </c>
    </row>
    <row r="1370" spans="17:18">
      <c r="Q1370" s="275">
        <f t="shared" si="61"/>
        <v>1.332999999999964</v>
      </c>
      <c r="R1370" s="276">
        <v>1.5</v>
      </c>
    </row>
    <row r="1371" spans="17:18">
      <c r="Q1371" s="275">
        <f t="shared" si="61"/>
        <v>1.3339999999999639</v>
      </c>
      <c r="R1371" s="276">
        <v>1.5</v>
      </c>
    </row>
    <row r="1372" spans="17:18">
      <c r="Q1372" s="275">
        <f t="shared" si="61"/>
        <v>1.3349999999999638</v>
      </c>
      <c r="R1372" s="276">
        <v>1.5</v>
      </c>
    </row>
    <row r="1373" spans="17:18">
      <c r="Q1373" s="275">
        <f t="shared" si="61"/>
        <v>1.3359999999999637</v>
      </c>
      <c r="R1373" s="276">
        <v>1.5</v>
      </c>
    </row>
    <row r="1374" spans="17:18">
      <c r="Q1374" s="275">
        <f t="shared" si="61"/>
        <v>1.3369999999999636</v>
      </c>
      <c r="R1374" s="276">
        <v>1.5</v>
      </c>
    </row>
    <row r="1375" spans="17:18">
      <c r="Q1375" s="275">
        <f t="shared" si="61"/>
        <v>1.3379999999999634</v>
      </c>
      <c r="R1375" s="276">
        <v>1.5</v>
      </c>
    </row>
    <row r="1376" spans="17:18">
      <c r="Q1376" s="275">
        <f t="shared" si="61"/>
        <v>1.3389999999999633</v>
      </c>
      <c r="R1376" s="276">
        <v>1.5</v>
      </c>
    </row>
    <row r="1377" spans="17:18">
      <c r="Q1377" s="275">
        <f t="shared" si="61"/>
        <v>1.3399999999999632</v>
      </c>
      <c r="R1377" s="276">
        <v>1.5</v>
      </c>
    </row>
    <row r="1378" spans="17:18">
      <c r="Q1378" s="275">
        <f t="shared" si="61"/>
        <v>1.3409999999999631</v>
      </c>
      <c r="R1378" s="276">
        <v>1.5</v>
      </c>
    </row>
    <row r="1379" spans="17:18">
      <c r="Q1379" s="275">
        <f t="shared" si="61"/>
        <v>1.341999999999963</v>
      </c>
      <c r="R1379" s="276">
        <v>1.5</v>
      </c>
    </row>
    <row r="1380" spans="17:18">
      <c r="Q1380" s="275">
        <f t="shared" si="61"/>
        <v>1.3429999999999629</v>
      </c>
      <c r="R1380" s="276">
        <v>1.5</v>
      </c>
    </row>
    <row r="1381" spans="17:18">
      <c r="Q1381" s="275">
        <f t="shared" si="61"/>
        <v>1.3439999999999628</v>
      </c>
      <c r="R1381" s="276">
        <v>1.5</v>
      </c>
    </row>
    <row r="1382" spans="17:18">
      <c r="Q1382" s="275">
        <f t="shared" si="61"/>
        <v>1.3449999999999627</v>
      </c>
      <c r="R1382" s="276">
        <v>1.5</v>
      </c>
    </row>
    <row r="1383" spans="17:18">
      <c r="Q1383" s="275">
        <f t="shared" ref="Q1383:Q1446" si="62">Q1382+0.001</f>
        <v>1.3459999999999626</v>
      </c>
      <c r="R1383" s="276">
        <v>1.5</v>
      </c>
    </row>
    <row r="1384" spans="17:18">
      <c r="Q1384" s="275">
        <f t="shared" si="62"/>
        <v>1.3469999999999624</v>
      </c>
      <c r="R1384" s="276">
        <v>1.5</v>
      </c>
    </row>
    <row r="1385" spans="17:18">
      <c r="Q1385" s="275">
        <f t="shared" si="62"/>
        <v>1.3479999999999623</v>
      </c>
      <c r="R1385" s="276">
        <v>1.5</v>
      </c>
    </row>
    <row r="1386" spans="17:18">
      <c r="Q1386" s="275">
        <f t="shared" si="62"/>
        <v>1.3489999999999622</v>
      </c>
      <c r="R1386" s="276">
        <v>1.5</v>
      </c>
    </row>
    <row r="1387" spans="17:18">
      <c r="Q1387" s="275">
        <f t="shared" si="62"/>
        <v>1.3499999999999621</v>
      </c>
      <c r="R1387" s="276">
        <v>1.5</v>
      </c>
    </row>
    <row r="1388" spans="17:18">
      <c r="Q1388" s="275">
        <f t="shared" si="62"/>
        <v>1.350999999999962</v>
      </c>
      <c r="R1388" s="276">
        <v>1.5</v>
      </c>
    </row>
    <row r="1389" spans="17:18">
      <c r="Q1389" s="275">
        <f t="shared" si="62"/>
        <v>1.3519999999999619</v>
      </c>
      <c r="R1389" s="276">
        <v>1.5</v>
      </c>
    </row>
    <row r="1390" spans="17:18">
      <c r="Q1390" s="275">
        <f t="shared" si="62"/>
        <v>1.3529999999999618</v>
      </c>
      <c r="R1390" s="276">
        <v>1.5</v>
      </c>
    </row>
    <row r="1391" spans="17:18">
      <c r="Q1391" s="275">
        <f t="shared" si="62"/>
        <v>1.3539999999999617</v>
      </c>
      <c r="R1391" s="276">
        <v>1.5</v>
      </c>
    </row>
    <row r="1392" spans="17:18">
      <c r="Q1392" s="275">
        <f t="shared" si="62"/>
        <v>1.3549999999999616</v>
      </c>
      <c r="R1392" s="276">
        <v>1.5</v>
      </c>
    </row>
    <row r="1393" spans="17:18">
      <c r="Q1393" s="275">
        <f t="shared" si="62"/>
        <v>1.3559999999999615</v>
      </c>
      <c r="R1393" s="276">
        <v>1.5</v>
      </c>
    </row>
    <row r="1394" spans="17:18">
      <c r="Q1394" s="275">
        <f t="shared" si="62"/>
        <v>1.3569999999999613</v>
      </c>
      <c r="R1394" s="276">
        <v>1.5</v>
      </c>
    </row>
    <row r="1395" spans="17:18">
      <c r="Q1395" s="275">
        <f t="shared" si="62"/>
        <v>1.3579999999999612</v>
      </c>
      <c r="R1395" s="276">
        <v>1.5</v>
      </c>
    </row>
    <row r="1396" spans="17:18">
      <c r="Q1396" s="275">
        <f t="shared" si="62"/>
        <v>1.3589999999999611</v>
      </c>
      <c r="R1396" s="276">
        <v>1.5</v>
      </c>
    </row>
    <row r="1397" spans="17:18">
      <c r="Q1397" s="275">
        <f t="shared" si="62"/>
        <v>1.359999999999961</v>
      </c>
      <c r="R1397" s="276">
        <v>1.5</v>
      </c>
    </row>
    <row r="1398" spans="17:18">
      <c r="Q1398" s="275">
        <f t="shared" si="62"/>
        <v>1.3609999999999609</v>
      </c>
      <c r="R1398" s="276">
        <v>1.5</v>
      </c>
    </row>
    <row r="1399" spans="17:18">
      <c r="Q1399" s="275">
        <f t="shared" si="62"/>
        <v>1.3619999999999608</v>
      </c>
      <c r="R1399" s="276">
        <v>1.5</v>
      </c>
    </row>
    <row r="1400" spans="17:18">
      <c r="Q1400" s="275">
        <f t="shared" si="62"/>
        <v>1.3629999999999607</v>
      </c>
      <c r="R1400" s="276">
        <v>1.5</v>
      </c>
    </row>
    <row r="1401" spans="17:18">
      <c r="Q1401" s="275">
        <f t="shared" si="62"/>
        <v>1.3639999999999606</v>
      </c>
      <c r="R1401" s="276">
        <v>1.5</v>
      </c>
    </row>
    <row r="1402" spans="17:18">
      <c r="Q1402" s="275">
        <f t="shared" si="62"/>
        <v>1.3649999999999605</v>
      </c>
      <c r="R1402" s="276">
        <v>1.5</v>
      </c>
    </row>
    <row r="1403" spans="17:18">
      <c r="Q1403" s="275">
        <f t="shared" si="62"/>
        <v>1.3659999999999604</v>
      </c>
      <c r="R1403" s="276">
        <v>1.5</v>
      </c>
    </row>
    <row r="1404" spans="17:18">
      <c r="Q1404" s="275">
        <f t="shared" si="62"/>
        <v>1.3669999999999602</v>
      </c>
      <c r="R1404" s="276">
        <v>1.5</v>
      </c>
    </row>
    <row r="1405" spans="17:18">
      <c r="Q1405" s="275">
        <f t="shared" si="62"/>
        <v>1.3679999999999601</v>
      </c>
      <c r="R1405" s="276">
        <v>1.5</v>
      </c>
    </row>
    <row r="1406" spans="17:18">
      <c r="Q1406" s="275">
        <f t="shared" si="62"/>
        <v>1.36899999999996</v>
      </c>
      <c r="R1406" s="276">
        <v>1.5</v>
      </c>
    </row>
    <row r="1407" spans="17:18">
      <c r="Q1407" s="275">
        <f t="shared" si="62"/>
        <v>1.3699999999999599</v>
      </c>
      <c r="R1407" s="276">
        <v>1.5</v>
      </c>
    </row>
    <row r="1408" spans="17:18">
      <c r="Q1408" s="275">
        <f t="shared" si="62"/>
        <v>1.3709999999999598</v>
      </c>
      <c r="R1408" s="276">
        <v>1.5</v>
      </c>
    </row>
    <row r="1409" spans="17:18">
      <c r="Q1409" s="275">
        <f t="shared" si="62"/>
        <v>1.3719999999999597</v>
      </c>
      <c r="R1409" s="276">
        <v>1.5</v>
      </c>
    </row>
    <row r="1410" spans="17:18">
      <c r="Q1410" s="275">
        <f t="shared" si="62"/>
        <v>1.3729999999999596</v>
      </c>
      <c r="R1410" s="276">
        <v>1.5</v>
      </c>
    </row>
    <row r="1411" spans="17:18">
      <c r="Q1411" s="275">
        <f t="shared" si="62"/>
        <v>1.3739999999999595</v>
      </c>
      <c r="R1411" s="276">
        <v>1.5</v>
      </c>
    </row>
    <row r="1412" spans="17:18">
      <c r="Q1412" s="275">
        <f t="shared" si="62"/>
        <v>1.3749999999999594</v>
      </c>
      <c r="R1412" s="276">
        <v>1.5</v>
      </c>
    </row>
    <row r="1413" spans="17:18">
      <c r="Q1413" s="275">
        <f t="shared" si="62"/>
        <v>1.3759999999999593</v>
      </c>
      <c r="R1413" s="276">
        <v>1.5</v>
      </c>
    </row>
    <row r="1414" spans="17:18">
      <c r="Q1414" s="275">
        <f t="shared" si="62"/>
        <v>1.3769999999999591</v>
      </c>
      <c r="R1414" s="276">
        <v>1.5</v>
      </c>
    </row>
    <row r="1415" spans="17:18">
      <c r="Q1415" s="275">
        <f t="shared" si="62"/>
        <v>1.377999999999959</v>
      </c>
      <c r="R1415" s="276">
        <v>1.5</v>
      </c>
    </row>
    <row r="1416" spans="17:18">
      <c r="Q1416" s="275">
        <f t="shared" si="62"/>
        <v>1.3789999999999589</v>
      </c>
      <c r="R1416" s="276">
        <v>1.5</v>
      </c>
    </row>
    <row r="1417" spans="17:18">
      <c r="Q1417" s="275">
        <f t="shared" si="62"/>
        <v>1.3799999999999588</v>
      </c>
      <c r="R1417" s="276">
        <v>1.5</v>
      </c>
    </row>
    <row r="1418" spans="17:18">
      <c r="Q1418" s="275">
        <f t="shared" si="62"/>
        <v>1.3809999999999587</v>
      </c>
      <c r="R1418" s="276">
        <v>1.5</v>
      </c>
    </row>
    <row r="1419" spans="17:18">
      <c r="Q1419" s="275">
        <f t="shared" si="62"/>
        <v>1.3819999999999586</v>
      </c>
      <c r="R1419" s="276">
        <v>1.5</v>
      </c>
    </row>
    <row r="1420" spans="17:18">
      <c r="Q1420" s="275">
        <f t="shared" si="62"/>
        <v>1.3829999999999585</v>
      </c>
      <c r="R1420" s="276">
        <v>1.5</v>
      </c>
    </row>
    <row r="1421" spans="17:18">
      <c r="Q1421" s="275">
        <f t="shared" si="62"/>
        <v>1.3839999999999584</v>
      </c>
      <c r="R1421" s="276">
        <v>1.5</v>
      </c>
    </row>
    <row r="1422" spans="17:18">
      <c r="Q1422" s="275">
        <f t="shared" si="62"/>
        <v>1.3849999999999583</v>
      </c>
      <c r="R1422" s="276">
        <v>1.5</v>
      </c>
    </row>
    <row r="1423" spans="17:18">
      <c r="Q1423" s="275">
        <f t="shared" si="62"/>
        <v>1.3859999999999582</v>
      </c>
      <c r="R1423" s="276">
        <v>1.5</v>
      </c>
    </row>
    <row r="1424" spans="17:18">
      <c r="Q1424" s="275">
        <f t="shared" si="62"/>
        <v>1.386999999999958</v>
      </c>
      <c r="R1424" s="276">
        <v>1.5</v>
      </c>
    </row>
    <row r="1425" spans="17:18">
      <c r="Q1425" s="275">
        <f t="shared" si="62"/>
        <v>1.3879999999999579</v>
      </c>
      <c r="R1425" s="276">
        <v>1.5</v>
      </c>
    </row>
    <row r="1426" spans="17:18">
      <c r="Q1426" s="275">
        <f t="shared" si="62"/>
        <v>1.3889999999999578</v>
      </c>
      <c r="R1426" s="276">
        <v>1.5</v>
      </c>
    </row>
    <row r="1427" spans="17:18">
      <c r="Q1427" s="275">
        <f t="shared" si="62"/>
        <v>1.3899999999999577</v>
      </c>
      <c r="R1427" s="276">
        <v>1.5</v>
      </c>
    </row>
    <row r="1428" spans="17:18">
      <c r="Q1428" s="275">
        <f t="shared" si="62"/>
        <v>1.3909999999999576</v>
      </c>
      <c r="R1428" s="276">
        <v>1.5</v>
      </c>
    </row>
    <row r="1429" spans="17:18">
      <c r="Q1429" s="275">
        <f t="shared" si="62"/>
        <v>1.3919999999999575</v>
      </c>
      <c r="R1429" s="276">
        <v>1.5</v>
      </c>
    </row>
    <row r="1430" spans="17:18">
      <c r="Q1430" s="275">
        <f t="shared" si="62"/>
        <v>1.3929999999999574</v>
      </c>
      <c r="R1430" s="276">
        <v>1.5</v>
      </c>
    </row>
    <row r="1431" spans="17:18">
      <c r="Q1431" s="275">
        <f t="shared" si="62"/>
        <v>1.3939999999999573</v>
      </c>
      <c r="R1431" s="276">
        <v>1.5</v>
      </c>
    </row>
    <row r="1432" spans="17:18">
      <c r="Q1432" s="275">
        <f t="shared" si="62"/>
        <v>1.3949999999999572</v>
      </c>
      <c r="R1432" s="276">
        <v>1.5</v>
      </c>
    </row>
    <row r="1433" spans="17:18">
      <c r="Q1433" s="275">
        <f t="shared" si="62"/>
        <v>1.3959999999999571</v>
      </c>
      <c r="R1433" s="276">
        <v>1.5</v>
      </c>
    </row>
    <row r="1434" spans="17:18">
      <c r="Q1434" s="275">
        <f t="shared" si="62"/>
        <v>1.3969999999999569</v>
      </c>
      <c r="R1434" s="276">
        <v>1.5</v>
      </c>
    </row>
    <row r="1435" spans="17:18">
      <c r="Q1435" s="275">
        <f t="shared" si="62"/>
        <v>1.3979999999999568</v>
      </c>
      <c r="R1435" s="276">
        <v>1.5</v>
      </c>
    </row>
    <row r="1436" spans="17:18">
      <c r="Q1436" s="275">
        <f t="shared" si="62"/>
        <v>1.3989999999999567</v>
      </c>
      <c r="R1436" s="276">
        <v>1.5</v>
      </c>
    </row>
    <row r="1437" spans="17:18">
      <c r="Q1437" s="275">
        <f t="shared" si="62"/>
        <v>1.3999999999999566</v>
      </c>
      <c r="R1437" s="276">
        <v>1.5</v>
      </c>
    </row>
    <row r="1438" spans="17:18">
      <c r="Q1438" s="275">
        <f t="shared" si="62"/>
        <v>1.4009999999999565</v>
      </c>
      <c r="R1438" s="276">
        <v>1.5</v>
      </c>
    </row>
    <row r="1439" spans="17:18">
      <c r="Q1439" s="275">
        <f t="shared" si="62"/>
        <v>1.4019999999999564</v>
      </c>
      <c r="R1439" s="276">
        <v>1.5</v>
      </c>
    </row>
    <row r="1440" spans="17:18">
      <c r="Q1440" s="275">
        <f t="shared" si="62"/>
        <v>1.4029999999999563</v>
      </c>
      <c r="R1440" s="276">
        <v>1.5</v>
      </c>
    </row>
    <row r="1441" spans="17:18">
      <c r="Q1441" s="275">
        <f t="shared" si="62"/>
        <v>1.4039999999999562</v>
      </c>
      <c r="R1441" s="276">
        <v>1.5</v>
      </c>
    </row>
    <row r="1442" spans="17:18">
      <c r="Q1442" s="275">
        <f t="shared" si="62"/>
        <v>1.4049999999999561</v>
      </c>
      <c r="R1442" s="276">
        <v>1.5</v>
      </c>
    </row>
    <row r="1443" spans="17:18">
      <c r="Q1443" s="275">
        <f t="shared" si="62"/>
        <v>1.405999999999956</v>
      </c>
      <c r="R1443" s="276">
        <v>1.5</v>
      </c>
    </row>
    <row r="1444" spans="17:18">
      <c r="Q1444" s="275">
        <f t="shared" si="62"/>
        <v>1.4069999999999558</v>
      </c>
      <c r="R1444" s="276">
        <v>1.5</v>
      </c>
    </row>
    <row r="1445" spans="17:18">
      <c r="Q1445" s="275">
        <f t="shared" si="62"/>
        <v>1.4079999999999557</v>
      </c>
      <c r="R1445" s="276">
        <v>1.5</v>
      </c>
    </row>
    <row r="1446" spans="17:18">
      <c r="Q1446" s="275">
        <f t="shared" si="62"/>
        <v>1.4089999999999556</v>
      </c>
      <c r="R1446" s="276">
        <v>1.5</v>
      </c>
    </row>
    <row r="1447" spans="17:18">
      <c r="Q1447" s="275">
        <f t="shared" ref="Q1447:Q1510" si="63">Q1446+0.001</f>
        <v>1.4099999999999555</v>
      </c>
      <c r="R1447" s="276">
        <v>1.5</v>
      </c>
    </row>
    <row r="1448" spans="17:18">
      <c r="Q1448" s="275">
        <f t="shared" si="63"/>
        <v>1.4109999999999554</v>
      </c>
      <c r="R1448" s="276">
        <v>1.5</v>
      </c>
    </row>
    <row r="1449" spans="17:18">
      <c r="Q1449" s="275">
        <f t="shared" si="63"/>
        <v>1.4119999999999553</v>
      </c>
      <c r="R1449" s="276">
        <v>1.5</v>
      </c>
    </row>
    <row r="1450" spans="17:18">
      <c r="Q1450" s="275">
        <f t="shared" si="63"/>
        <v>1.4129999999999552</v>
      </c>
      <c r="R1450" s="276">
        <v>1.5</v>
      </c>
    </row>
    <row r="1451" spans="17:18">
      <c r="Q1451" s="275">
        <f t="shared" si="63"/>
        <v>1.4139999999999551</v>
      </c>
      <c r="R1451" s="276">
        <v>1.5</v>
      </c>
    </row>
    <row r="1452" spans="17:18">
      <c r="Q1452" s="275">
        <f t="shared" si="63"/>
        <v>1.414999999999955</v>
      </c>
      <c r="R1452" s="276">
        <v>1.5</v>
      </c>
    </row>
    <row r="1453" spans="17:18">
      <c r="Q1453" s="275">
        <f t="shared" si="63"/>
        <v>1.4159999999999549</v>
      </c>
      <c r="R1453" s="276">
        <v>1.5</v>
      </c>
    </row>
    <row r="1454" spans="17:18">
      <c r="Q1454" s="275">
        <f t="shared" si="63"/>
        <v>1.4169999999999547</v>
      </c>
      <c r="R1454" s="276">
        <v>1.5</v>
      </c>
    </row>
    <row r="1455" spans="17:18">
      <c r="Q1455" s="275">
        <f t="shared" si="63"/>
        <v>1.4179999999999546</v>
      </c>
      <c r="R1455" s="276">
        <v>1.5</v>
      </c>
    </row>
    <row r="1456" spans="17:18">
      <c r="Q1456" s="275">
        <f t="shared" si="63"/>
        <v>1.4189999999999545</v>
      </c>
      <c r="R1456" s="276">
        <v>1.5</v>
      </c>
    </row>
    <row r="1457" spans="17:18">
      <c r="Q1457" s="275">
        <f t="shared" si="63"/>
        <v>1.4199999999999544</v>
      </c>
      <c r="R1457" s="276">
        <v>1.5</v>
      </c>
    </row>
    <row r="1458" spans="17:18">
      <c r="Q1458" s="275">
        <f t="shared" si="63"/>
        <v>1.4209999999999543</v>
      </c>
      <c r="R1458" s="276">
        <v>1.5</v>
      </c>
    </row>
    <row r="1459" spans="17:18">
      <c r="Q1459" s="275">
        <f t="shared" si="63"/>
        <v>1.4219999999999542</v>
      </c>
      <c r="R1459" s="276">
        <v>1.5</v>
      </c>
    </row>
    <row r="1460" spans="17:18">
      <c r="Q1460" s="275">
        <f t="shared" si="63"/>
        <v>1.4229999999999541</v>
      </c>
      <c r="R1460" s="276">
        <v>1.5</v>
      </c>
    </row>
    <row r="1461" spans="17:18">
      <c r="Q1461" s="275">
        <f t="shared" si="63"/>
        <v>1.423999999999954</v>
      </c>
      <c r="R1461" s="276">
        <v>1.5</v>
      </c>
    </row>
    <row r="1462" spans="17:18">
      <c r="Q1462" s="275">
        <f t="shared" si="63"/>
        <v>1.4249999999999539</v>
      </c>
      <c r="R1462" s="276">
        <v>1.5</v>
      </c>
    </row>
    <row r="1463" spans="17:18">
      <c r="Q1463" s="275">
        <f t="shared" si="63"/>
        <v>1.4259999999999537</v>
      </c>
      <c r="R1463" s="276">
        <v>1.5</v>
      </c>
    </row>
    <row r="1464" spans="17:18">
      <c r="Q1464" s="275">
        <f t="shared" si="63"/>
        <v>1.4269999999999536</v>
      </c>
      <c r="R1464" s="276">
        <v>1.5</v>
      </c>
    </row>
    <row r="1465" spans="17:18">
      <c r="Q1465" s="275">
        <f t="shared" si="63"/>
        <v>1.4279999999999535</v>
      </c>
      <c r="R1465" s="276">
        <v>1.5</v>
      </c>
    </row>
    <row r="1466" spans="17:18">
      <c r="Q1466" s="275">
        <f t="shared" si="63"/>
        <v>1.4289999999999534</v>
      </c>
      <c r="R1466" s="276">
        <v>1.5</v>
      </c>
    </row>
    <row r="1467" spans="17:18">
      <c r="Q1467" s="275">
        <f t="shared" si="63"/>
        <v>1.4299999999999533</v>
      </c>
      <c r="R1467" s="276">
        <v>1.5</v>
      </c>
    </row>
    <row r="1468" spans="17:18">
      <c r="Q1468" s="275">
        <f t="shared" si="63"/>
        <v>1.4309999999999532</v>
      </c>
      <c r="R1468" s="276">
        <v>1.5</v>
      </c>
    </row>
    <row r="1469" spans="17:18">
      <c r="Q1469" s="275">
        <f t="shared" si="63"/>
        <v>1.4319999999999531</v>
      </c>
      <c r="R1469" s="276">
        <v>1.5</v>
      </c>
    </row>
    <row r="1470" spans="17:18">
      <c r="Q1470" s="275">
        <f t="shared" si="63"/>
        <v>1.432999999999953</v>
      </c>
      <c r="R1470" s="276">
        <v>1.5</v>
      </c>
    </row>
    <row r="1471" spans="17:18">
      <c r="Q1471" s="275">
        <f t="shared" si="63"/>
        <v>1.4339999999999529</v>
      </c>
      <c r="R1471" s="276">
        <v>1.5</v>
      </c>
    </row>
    <row r="1472" spans="17:18">
      <c r="Q1472" s="275">
        <f t="shared" si="63"/>
        <v>1.4349999999999528</v>
      </c>
      <c r="R1472" s="276">
        <v>1.5</v>
      </c>
    </row>
    <row r="1473" spans="17:18">
      <c r="Q1473" s="275">
        <f t="shared" si="63"/>
        <v>1.4359999999999526</v>
      </c>
      <c r="R1473" s="276">
        <v>1.5</v>
      </c>
    </row>
    <row r="1474" spans="17:18">
      <c r="Q1474" s="275">
        <f t="shared" si="63"/>
        <v>1.4369999999999525</v>
      </c>
      <c r="R1474" s="276">
        <v>1.5</v>
      </c>
    </row>
    <row r="1475" spans="17:18">
      <c r="Q1475" s="275">
        <f t="shared" si="63"/>
        <v>1.4379999999999524</v>
      </c>
      <c r="R1475" s="276">
        <v>1.5</v>
      </c>
    </row>
    <row r="1476" spans="17:18">
      <c r="Q1476" s="275">
        <f t="shared" si="63"/>
        <v>1.4389999999999523</v>
      </c>
      <c r="R1476" s="276">
        <v>1.5</v>
      </c>
    </row>
    <row r="1477" spans="17:18">
      <c r="Q1477" s="275">
        <f t="shared" si="63"/>
        <v>1.4399999999999522</v>
      </c>
      <c r="R1477" s="276">
        <v>1.5</v>
      </c>
    </row>
    <row r="1478" spans="17:18">
      <c r="Q1478" s="275">
        <f t="shared" si="63"/>
        <v>1.4409999999999521</v>
      </c>
      <c r="R1478" s="276">
        <v>1.5</v>
      </c>
    </row>
    <row r="1479" spans="17:18">
      <c r="Q1479" s="275">
        <f t="shared" si="63"/>
        <v>1.441999999999952</v>
      </c>
      <c r="R1479" s="276">
        <v>1.5</v>
      </c>
    </row>
    <row r="1480" spans="17:18">
      <c r="Q1480" s="275">
        <f t="shared" si="63"/>
        <v>1.4429999999999519</v>
      </c>
      <c r="R1480" s="276">
        <v>1.5</v>
      </c>
    </row>
    <row r="1481" spans="17:18">
      <c r="Q1481" s="275">
        <f t="shared" si="63"/>
        <v>1.4439999999999518</v>
      </c>
      <c r="R1481" s="276">
        <v>1.5</v>
      </c>
    </row>
    <row r="1482" spans="17:18">
      <c r="Q1482" s="275">
        <f t="shared" si="63"/>
        <v>1.4449999999999517</v>
      </c>
      <c r="R1482" s="276">
        <v>1.5</v>
      </c>
    </row>
    <row r="1483" spans="17:18">
      <c r="Q1483" s="275">
        <f t="shared" si="63"/>
        <v>1.4459999999999515</v>
      </c>
      <c r="R1483" s="276">
        <v>1.5</v>
      </c>
    </row>
    <row r="1484" spans="17:18">
      <c r="Q1484" s="275">
        <f t="shared" si="63"/>
        <v>1.4469999999999514</v>
      </c>
      <c r="R1484" s="276">
        <v>1.5</v>
      </c>
    </row>
    <row r="1485" spans="17:18">
      <c r="Q1485" s="275">
        <f t="shared" si="63"/>
        <v>1.4479999999999513</v>
      </c>
      <c r="R1485" s="276">
        <v>1.5</v>
      </c>
    </row>
    <row r="1486" spans="17:18">
      <c r="Q1486" s="275">
        <f t="shared" si="63"/>
        <v>1.4489999999999512</v>
      </c>
      <c r="R1486" s="276">
        <v>1.5</v>
      </c>
    </row>
    <row r="1487" spans="17:18">
      <c r="Q1487" s="275">
        <f t="shared" si="63"/>
        <v>1.4499999999999511</v>
      </c>
      <c r="R1487" s="276">
        <v>1.5</v>
      </c>
    </row>
    <row r="1488" spans="17:18">
      <c r="Q1488" s="275">
        <f t="shared" si="63"/>
        <v>1.450999999999951</v>
      </c>
      <c r="R1488" s="276">
        <v>1.5</v>
      </c>
    </row>
    <row r="1489" spans="17:18">
      <c r="Q1489" s="275">
        <f t="shared" si="63"/>
        <v>1.4519999999999509</v>
      </c>
      <c r="R1489" s="276">
        <v>1.5</v>
      </c>
    </row>
    <row r="1490" spans="17:18">
      <c r="Q1490" s="275">
        <f t="shared" si="63"/>
        <v>1.4529999999999508</v>
      </c>
      <c r="R1490" s="276">
        <v>1.5</v>
      </c>
    </row>
    <row r="1491" spans="17:18">
      <c r="Q1491" s="275">
        <f t="shared" si="63"/>
        <v>1.4539999999999507</v>
      </c>
      <c r="R1491" s="276">
        <v>1.5</v>
      </c>
    </row>
    <row r="1492" spans="17:18">
      <c r="Q1492" s="275">
        <f t="shared" si="63"/>
        <v>1.4549999999999506</v>
      </c>
      <c r="R1492" s="276">
        <v>1.5</v>
      </c>
    </row>
    <row r="1493" spans="17:18">
      <c r="Q1493" s="275">
        <f t="shared" si="63"/>
        <v>1.4559999999999504</v>
      </c>
      <c r="R1493" s="276">
        <v>1.5</v>
      </c>
    </row>
    <row r="1494" spans="17:18">
      <c r="Q1494" s="275">
        <f t="shared" si="63"/>
        <v>1.4569999999999503</v>
      </c>
      <c r="R1494" s="276">
        <v>1.5</v>
      </c>
    </row>
    <row r="1495" spans="17:18">
      <c r="Q1495" s="275">
        <f t="shared" si="63"/>
        <v>1.4579999999999502</v>
      </c>
      <c r="R1495" s="276">
        <v>1.5</v>
      </c>
    </row>
    <row r="1496" spans="17:18">
      <c r="Q1496" s="275">
        <f t="shared" si="63"/>
        <v>1.4589999999999501</v>
      </c>
      <c r="R1496" s="276">
        <v>1.5</v>
      </c>
    </row>
    <row r="1497" spans="17:18">
      <c r="Q1497" s="275">
        <f t="shared" si="63"/>
        <v>1.45999999999995</v>
      </c>
      <c r="R1497" s="276">
        <v>1.5</v>
      </c>
    </row>
    <row r="1498" spans="17:18">
      <c r="Q1498" s="275">
        <f t="shared" si="63"/>
        <v>1.4609999999999499</v>
      </c>
      <c r="R1498" s="276">
        <v>1.5</v>
      </c>
    </row>
    <row r="1499" spans="17:18">
      <c r="Q1499" s="275">
        <f t="shared" si="63"/>
        <v>1.4619999999999498</v>
      </c>
      <c r="R1499" s="276">
        <v>1.5</v>
      </c>
    </row>
    <row r="1500" spans="17:18">
      <c r="Q1500" s="275">
        <f t="shared" si="63"/>
        <v>1.4629999999999497</v>
      </c>
      <c r="R1500" s="276">
        <v>1.5</v>
      </c>
    </row>
    <row r="1501" spans="17:18">
      <c r="Q1501" s="275">
        <f t="shared" si="63"/>
        <v>1.4639999999999496</v>
      </c>
      <c r="R1501" s="276">
        <v>1.5</v>
      </c>
    </row>
    <row r="1502" spans="17:18">
      <c r="Q1502" s="275">
        <f t="shared" si="63"/>
        <v>1.4649999999999495</v>
      </c>
      <c r="R1502" s="276">
        <v>1.5</v>
      </c>
    </row>
    <row r="1503" spans="17:18">
      <c r="Q1503" s="275">
        <f t="shared" si="63"/>
        <v>1.4659999999999493</v>
      </c>
      <c r="R1503" s="276">
        <v>1.5</v>
      </c>
    </row>
    <row r="1504" spans="17:18">
      <c r="Q1504" s="275">
        <f t="shared" si="63"/>
        <v>1.4669999999999492</v>
      </c>
      <c r="R1504" s="276">
        <v>1.5</v>
      </c>
    </row>
    <row r="1505" spans="17:18">
      <c r="Q1505" s="275">
        <f t="shared" si="63"/>
        <v>1.4679999999999491</v>
      </c>
      <c r="R1505" s="276">
        <v>1.5</v>
      </c>
    </row>
    <row r="1506" spans="17:18">
      <c r="Q1506" s="275">
        <f t="shared" si="63"/>
        <v>1.468999999999949</v>
      </c>
      <c r="R1506" s="276">
        <v>1.5</v>
      </c>
    </row>
    <row r="1507" spans="17:18">
      <c r="Q1507" s="275">
        <f t="shared" si="63"/>
        <v>1.4699999999999489</v>
      </c>
      <c r="R1507" s="276">
        <v>1.5</v>
      </c>
    </row>
    <row r="1508" spans="17:18">
      <c r="Q1508" s="275">
        <f t="shared" si="63"/>
        <v>1.4709999999999488</v>
      </c>
      <c r="R1508" s="276">
        <v>1.5</v>
      </c>
    </row>
    <row r="1509" spans="17:18">
      <c r="Q1509" s="275">
        <f t="shared" si="63"/>
        <v>1.4719999999999487</v>
      </c>
      <c r="R1509" s="276">
        <v>1.5</v>
      </c>
    </row>
    <row r="1510" spans="17:18">
      <c r="Q1510" s="275">
        <f t="shared" si="63"/>
        <v>1.4729999999999486</v>
      </c>
      <c r="R1510" s="276">
        <v>1.5</v>
      </c>
    </row>
    <row r="1511" spans="17:18">
      <c r="Q1511" s="275">
        <f t="shared" ref="Q1511:Q1574" si="64">Q1510+0.001</f>
        <v>1.4739999999999485</v>
      </c>
      <c r="R1511" s="276">
        <v>1.5</v>
      </c>
    </row>
    <row r="1512" spans="17:18">
      <c r="Q1512" s="275">
        <f t="shared" si="64"/>
        <v>1.4749999999999484</v>
      </c>
      <c r="R1512" s="276">
        <v>1.5</v>
      </c>
    </row>
    <row r="1513" spans="17:18">
      <c r="Q1513" s="275">
        <f t="shared" si="64"/>
        <v>1.4759999999999482</v>
      </c>
      <c r="R1513" s="276">
        <v>1.5</v>
      </c>
    </row>
    <row r="1514" spans="17:18">
      <c r="Q1514" s="275">
        <f t="shared" si="64"/>
        <v>1.4769999999999481</v>
      </c>
      <c r="R1514" s="276">
        <v>1.5</v>
      </c>
    </row>
    <row r="1515" spans="17:18">
      <c r="Q1515" s="275">
        <f t="shared" si="64"/>
        <v>1.477999999999948</v>
      </c>
      <c r="R1515" s="276">
        <v>1.5</v>
      </c>
    </row>
    <row r="1516" spans="17:18">
      <c r="Q1516" s="275">
        <f t="shared" si="64"/>
        <v>1.4789999999999479</v>
      </c>
      <c r="R1516" s="276">
        <v>1.5</v>
      </c>
    </row>
    <row r="1517" spans="17:18">
      <c r="Q1517" s="275">
        <f t="shared" si="64"/>
        <v>1.4799999999999478</v>
      </c>
      <c r="R1517" s="276">
        <v>1.5</v>
      </c>
    </row>
    <row r="1518" spans="17:18">
      <c r="Q1518" s="275">
        <f t="shared" si="64"/>
        <v>1.4809999999999477</v>
      </c>
      <c r="R1518" s="276">
        <v>1.5</v>
      </c>
    </row>
    <row r="1519" spans="17:18">
      <c r="Q1519" s="275">
        <f t="shared" si="64"/>
        <v>1.4819999999999476</v>
      </c>
      <c r="R1519" s="276">
        <v>1.5</v>
      </c>
    </row>
    <row r="1520" spans="17:18">
      <c r="Q1520" s="275">
        <f t="shared" si="64"/>
        <v>1.4829999999999475</v>
      </c>
      <c r="R1520" s="276">
        <v>1.5</v>
      </c>
    </row>
    <row r="1521" spans="17:18">
      <c r="Q1521" s="275">
        <f t="shared" si="64"/>
        <v>1.4839999999999474</v>
      </c>
      <c r="R1521" s="276">
        <v>1.5</v>
      </c>
    </row>
    <row r="1522" spans="17:18">
      <c r="Q1522" s="275">
        <f t="shared" si="64"/>
        <v>1.4849999999999473</v>
      </c>
      <c r="R1522" s="276">
        <v>1.5</v>
      </c>
    </row>
    <row r="1523" spans="17:18">
      <c r="Q1523" s="275">
        <f t="shared" si="64"/>
        <v>1.4859999999999471</v>
      </c>
      <c r="R1523" s="276">
        <v>1.5</v>
      </c>
    </row>
    <row r="1524" spans="17:18">
      <c r="Q1524" s="275">
        <f t="shared" si="64"/>
        <v>1.486999999999947</v>
      </c>
      <c r="R1524" s="276">
        <v>1.5</v>
      </c>
    </row>
    <row r="1525" spans="17:18">
      <c r="Q1525" s="275">
        <f t="shared" si="64"/>
        <v>1.4879999999999469</v>
      </c>
      <c r="R1525" s="276">
        <v>1.5</v>
      </c>
    </row>
    <row r="1526" spans="17:18">
      <c r="Q1526" s="275">
        <f t="shared" si="64"/>
        <v>1.4889999999999468</v>
      </c>
      <c r="R1526" s="276">
        <v>1.5</v>
      </c>
    </row>
    <row r="1527" spans="17:18">
      <c r="Q1527" s="275">
        <f t="shared" si="64"/>
        <v>1.4899999999999467</v>
      </c>
      <c r="R1527" s="276">
        <v>1.5</v>
      </c>
    </row>
    <row r="1528" spans="17:18">
      <c r="Q1528" s="275">
        <f t="shared" si="64"/>
        <v>1.4909999999999466</v>
      </c>
      <c r="R1528" s="276">
        <v>1.5</v>
      </c>
    </row>
    <row r="1529" spans="17:18">
      <c r="Q1529" s="275">
        <f t="shared" si="64"/>
        <v>1.4919999999999465</v>
      </c>
      <c r="R1529" s="276">
        <v>1.5</v>
      </c>
    </row>
    <row r="1530" spans="17:18">
      <c r="Q1530" s="275">
        <f t="shared" si="64"/>
        <v>1.4929999999999464</v>
      </c>
      <c r="R1530" s="276">
        <v>1.5</v>
      </c>
    </row>
    <row r="1531" spans="17:18">
      <c r="Q1531" s="275">
        <f t="shared" si="64"/>
        <v>1.4939999999999463</v>
      </c>
      <c r="R1531" s="276">
        <v>1.5</v>
      </c>
    </row>
    <row r="1532" spans="17:18">
      <c r="Q1532" s="275">
        <f t="shared" si="64"/>
        <v>1.4949999999999461</v>
      </c>
      <c r="R1532" s="276">
        <v>1.5</v>
      </c>
    </row>
    <row r="1533" spans="17:18">
      <c r="Q1533" s="275">
        <f t="shared" si="64"/>
        <v>1.495999999999946</v>
      </c>
      <c r="R1533" s="276">
        <v>1.5</v>
      </c>
    </row>
    <row r="1534" spans="17:18">
      <c r="Q1534" s="275">
        <f t="shared" si="64"/>
        <v>1.4969999999999459</v>
      </c>
      <c r="R1534" s="276">
        <v>1.5</v>
      </c>
    </row>
    <row r="1535" spans="17:18">
      <c r="Q1535" s="275">
        <f t="shared" si="64"/>
        <v>1.4979999999999458</v>
      </c>
      <c r="R1535" s="276">
        <v>1.5</v>
      </c>
    </row>
    <row r="1536" spans="17:18">
      <c r="Q1536" s="275">
        <f t="shared" si="64"/>
        <v>1.4989999999999457</v>
      </c>
      <c r="R1536" s="276">
        <v>1.5</v>
      </c>
    </row>
    <row r="1537" spans="17:18">
      <c r="Q1537" s="275">
        <f t="shared" si="64"/>
        <v>1.4999999999999456</v>
      </c>
      <c r="R1537" s="276">
        <v>1.5</v>
      </c>
    </row>
    <row r="1538" spans="17:18">
      <c r="Q1538" s="275">
        <f t="shared" si="64"/>
        <v>1.5009999999999455</v>
      </c>
      <c r="R1538" s="276">
        <v>1.75</v>
      </c>
    </row>
    <row r="1539" spans="17:18">
      <c r="Q1539" s="275">
        <f t="shared" si="64"/>
        <v>1.5019999999999454</v>
      </c>
      <c r="R1539" s="276">
        <v>1.75</v>
      </c>
    </row>
    <row r="1540" spans="17:18">
      <c r="Q1540" s="275">
        <f t="shared" si="64"/>
        <v>1.5029999999999453</v>
      </c>
      <c r="R1540" s="276">
        <v>1.75</v>
      </c>
    </row>
    <row r="1541" spans="17:18">
      <c r="Q1541" s="275">
        <f t="shared" si="64"/>
        <v>1.5039999999999452</v>
      </c>
      <c r="R1541" s="276">
        <v>1.75</v>
      </c>
    </row>
    <row r="1542" spans="17:18">
      <c r="Q1542" s="275">
        <f t="shared" si="64"/>
        <v>1.504999999999945</v>
      </c>
      <c r="R1542" s="276">
        <v>1.75</v>
      </c>
    </row>
    <row r="1543" spans="17:18">
      <c r="Q1543" s="275">
        <f t="shared" si="64"/>
        <v>1.5059999999999449</v>
      </c>
      <c r="R1543" s="276">
        <v>1.75</v>
      </c>
    </row>
    <row r="1544" spans="17:18">
      <c r="Q1544" s="275">
        <f t="shared" si="64"/>
        <v>1.5069999999999448</v>
      </c>
      <c r="R1544" s="276">
        <v>1.75</v>
      </c>
    </row>
    <row r="1545" spans="17:18">
      <c r="Q1545" s="275">
        <f t="shared" si="64"/>
        <v>1.5079999999999447</v>
      </c>
      <c r="R1545" s="276">
        <v>1.75</v>
      </c>
    </row>
    <row r="1546" spans="17:18">
      <c r="Q1546" s="275">
        <f t="shared" si="64"/>
        <v>1.5089999999999446</v>
      </c>
      <c r="R1546" s="276">
        <v>1.75</v>
      </c>
    </row>
    <row r="1547" spans="17:18">
      <c r="Q1547" s="275">
        <f t="shared" si="64"/>
        <v>1.5099999999999445</v>
      </c>
      <c r="R1547" s="276">
        <v>1.75</v>
      </c>
    </row>
    <row r="1548" spans="17:18">
      <c r="Q1548" s="275">
        <f t="shared" si="64"/>
        <v>1.5109999999999444</v>
      </c>
      <c r="R1548" s="276">
        <v>1.75</v>
      </c>
    </row>
    <row r="1549" spans="17:18">
      <c r="Q1549" s="275">
        <f t="shared" si="64"/>
        <v>1.5119999999999443</v>
      </c>
      <c r="R1549" s="276">
        <v>1.75</v>
      </c>
    </row>
    <row r="1550" spans="17:18">
      <c r="Q1550" s="275">
        <f t="shared" si="64"/>
        <v>1.5129999999999442</v>
      </c>
      <c r="R1550" s="276">
        <v>1.75</v>
      </c>
    </row>
    <row r="1551" spans="17:18">
      <c r="Q1551" s="275">
        <f t="shared" si="64"/>
        <v>1.5139999999999441</v>
      </c>
      <c r="R1551" s="276">
        <v>1.75</v>
      </c>
    </row>
    <row r="1552" spans="17:18">
      <c r="Q1552" s="275">
        <f t="shared" si="64"/>
        <v>1.5149999999999439</v>
      </c>
      <c r="R1552" s="276">
        <v>1.75</v>
      </c>
    </row>
    <row r="1553" spans="17:18">
      <c r="Q1553" s="275">
        <f t="shared" si="64"/>
        <v>1.5159999999999438</v>
      </c>
      <c r="R1553" s="276">
        <v>1.75</v>
      </c>
    </row>
    <row r="1554" spans="17:18">
      <c r="Q1554" s="275">
        <f t="shared" si="64"/>
        <v>1.5169999999999437</v>
      </c>
      <c r="R1554" s="276">
        <v>1.75</v>
      </c>
    </row>
    <row r="1555" spans="17:18">
      <c r="Q1555" s="275">
        <f t="shared" si="64"/>
        <v>1.5179999999999436</v>
      </c>
      <c r="R1555" s="276">
        <v>1.75</v>
      </c>
    </row>
    <row r="1556" spans="17:18">
      <c r="Q1556" s="275">
        <f t="shared" si="64"/>
        <v>1.5189999999999435</v>
      </c>
      <c r="R1556" s="276">
        <v>1.75</v>
      </c>
    </row>
    <row r="1557" spans="17:18">
      <c r="Q1557" s="275">
        <f t="shared" si="64"/>
        <v>1.5199999999999434</v>
      </c>
      <c r="R1557" s="276">
        <v>1.75</v>
      </c>
    </row>
    <row r="1558" spans="17:18">
      <c r="Q1558" s="275">
        <f t="shared" si="64"/>
        <v>1.5209999999999433</v>
      </c>
      <c r="R1558" s="276">
        <v>1.75</v>
      </c>
    </row>
    <row r="1559" spans="17:18">
      <c r="Q1559" s="275">
        <f t="shared" si="64"/>
        <v>1.5219999999999432</v>
      </c>
      <c r="R1559" s="276">
        <v>1.75</v>
      </c>
    </row>
    <row r="1560" spans="17:18">
      <c r="Q1560" s="275">
        <f t="shared" si="64"/>
        <v>1.5229999999999431</v>
      </c>
      <c r="R1560" s="276">
        <v>1.75</v>
      </c>
    </row>
    <row r="1561" spans="17:18">
      <c r="Q1561" s="275">
        <f t="shared" si="64"/>
        <v>1.523999999999943</v>
      </c>
      <c r="R1561" s="276">
        <v>1.75</v>
      </c>
    </row>
    <row r="1562" spans="17:18">
      <c r="Q1562" s="275">
        <f t="shared" si="64"/>
        <v>1.5249999999999428</v>
      </c>
      <c r="R1562" s="276">
        <v>1.75</v>
      </c>
    </row>
    <row r="1563" spans="17:18">
      <c r="Q1563" s="275">
        <f t="shared" si="64"/>
        <v>1.5259999999999427</v>
      </c>
      <c r="R1563" s="276">
        <v>1.75</v>
      </c>
    </row>
    <row r="1564" spans="17:18">
      <c r="Q1564" s="275">
        <f t="shared" si="64"/>
        <v>1.5269999999999426</v>
      </c>
      <c r="R1564" s="276">
        <v>1.75</v>
      </c>
    </row>
    <row r="1565" spans="17:18">
      <c r="Q1565" s="275">
        <f t="shared" si="64"/>
        <v>1.5279999999999425</v>
      </c>
      <c r="R1565" s="276">
        <v>1.75</v>
      </c>
    </row>
    <row r="1566" spans="17:18">
      <c r="Q1566" s="275">
        <f t="shared" si="64"/>
        <v>1.5289999999999424</v>
      </c>
      <c r="R1566" s="276">
        <v>1.75</v>
      </c>
    </row>
    <row r="1567" spans="17:18">
      <c r="Q1567" s="275">
        <f t="shared" si="64"/>
        <v>1.5299999999999423</v>
      </c>
      <c r="R1567" s="276">
        <v>1.75</v>
      </c>
    </row>
    <row r="1568" spans="17:18">
      <c r="Q1568" s="275">
        <f t="shared" si="64"/>
        <v>1.5309999999999422</v>
      </c>
      <c r="R1568" s="276">
        <v>1.75</v>
      </c>
    </row>
    <row r="1569" spans="17:18">
      <c r="Q1569" s="275">
        <f t="shared" si="64"/>
        <v>1.5319999999999421</v>
      </c>
      <c r="R1569" s="276">
        <v>1.75</v>
      </c>
    </row>
    <row r="1570" spans="17:18">
      <c r="Q1570" s="275">
        <f t="shared" si="64"/>
        <v>1.532999999999942</v>
      </c>
      <c r="R1570" s="276">
        <v>1.75</v>
      </c>
    </row>
    <row r="1571" spans="17:18">
      <c r="Q1571" s="275">
        <f t="shared" si="64"/>
        <v>1.5339999999999419</v>
      </c>
      <c r="R1571" s="276">
        <v>1.75</v>
      </c>
    </row>
    <row r="1572" spans="17:18">
      <c r="Q1572" s="275">
        <f t="shared" si="64"/>
        <v>1.5349999999999417</v>
      </c>
      <c r="R1572" s="276">
        <v>1.75</v>
      </c>
    </row>
    <row r="1573" spans="17:18">
      <c r="Q1573" s="275">
        <f t="shared" si="64"/>
        <v>1.5359999999999416</v>
      </c>
      <c r="R1573" s="276">
        <v>1.75</v>
      </c>
    </row>
    <row r="1574" spans="17:18">
      <c r="Q1574" s="275">
        <f t="shared" si="64"/>
        <v>1.5369999999999415</v>
      </c>
      <c r="R1574" s="276">
        <v>1.75</v>
      </c>
    </row>
    <row r="1575" spans="17:18">
      <c r="Q1575" s="275">
        <f t="shared" ref="Q1575:Q1638" si="65">Q1574+0.001</f>
        <v>1.5379999999999414</v>
      </c>
      <c r="R1575" s="276">
        <v>1.75</v>
      </c>
    </row>
    <row r="1576" spans="17:18">
      <c r="Q1576" s="275">
        <f t="shared" si="65"/>
        <v>1.5389999999999413</v>
      </c>
      <c r="R1576" s="276">
        <v>1.75</v>
      </c>
    </row>
    <row r="1577" spans="17:18">
      <c r="Q1577" s="275">
        <f t="shared" si="65"/>
        <v>1.5399999999999412</v>
      </c>
      <c r="R1577" s="276">
        <v>1.75</v>
      </c>
    </row>
    <row r="1578" spans="17:18">
      <c r="Q1578" s="275">
        <f t="shared" si="65"/>
        <v>1.5409999999999411</v>
      </c>
      <c r="R1578" s="276">
        <v>1.75</v>
      </c>
    </row>
    <row r="1579" spans="17:18">
      <c r="Q1579" s="275">
        <f t="shared" si="65"/>
        <v>1.541999999999941</v>
      </c>
      <c r="R1579" s="276">
        <v>1.75</v>
      </c>
    </row>
    <row r="1580" spans="17:18">
      <c r="Q1580" s="275">
        <f t="shared" si="65"/>
        <v>1.5429999999999409</v>
      </c>
      <c r="R1580" s="276">
        <v>1.75</v>
      </c>
    </row>
    <row r="1581" spans="17:18">
      <c r="Q1581" s="275">
        <f t="shared" si="65"/>
        <v>1.5439999999999408</v>
      </c>
      <c r="R1581" s="276">
        <v>1.75</v>
      </c>
    </row>
    <row r="1582" spans="17:18">
      <c r="Q1582" s="275">
        <f t="shared" si="65"/>
        <v>1.5449999999999406</v>
      </c>
      <c r="R1582" s="276">
        <v>1.75</v>
      </c>
    </row>
    <row r="1583" spans="17:18">
      <c r="Q1583" s="275">
        <f t="shared" si="65"/>
        <v>1.5459999999999405</v>
      </c>
      <c r="R1583" s="276">
        <v>1.75</v>
      </c>
    </row>
    <row r="1584" spans="17:18">
      <c r="Q1584" s="275">
        <f t="shared" si="65"/>
        <v>1.5469999999999404</v>
      </c>
      <c r="R1584" s="276">
        <v>1.75</v>
      </c>
    </row>
    <row r="1585" spans="17:18">
      <c r="Q1585" s="275">
        <f t="shared" si="65"/>
        <v>1.5479999999999403</v>
      </c>
      <c r="R1585" s="276">
        <v>1.75</v>
      </c>
    </row>
    <row r="1586" spans="17:18">
      <c r="Q1586" s="275">
        <f t="shared" si="65"/>
        <v>1.5489999999999402</v>
      </c>
      <c r="R1586" s="276">
        <v>1.75</v>
      </c>
    </row>
    <row r="1587" spans="17:18">
      <c r="Q1587" s="275">
        <f t="shared" si="65"/>
        <v>1.5499999999999401</v>
      </c>
      <c r="R1587" s="276">
        <v>1.75</v>
      </c>
    </row>
    <row r="1588" spans="17:18">
      <c r="Q1588" s="275">
        <f t="shared" si="65"/>
        <v>1.55099999999994</v>
      </c>
      <c r="R1588" s="276">
        <v>1.75</v>
      </c>
    </row>
    <row r="1589" spans="17:18">
      <c r="Q1589" s="275">
        <f t="shared" si="65"/>
        <v>1.5519999999999399</v>
      </c>
      <c r="R1589" s="276">
        <v>1.75</v>
      </c>
    </row>
    <row r="1590" spans="17:18">
      <c r="Q1590" s="275">
        <f t="shared" si="65"/>
        <v>1.5529999999999398</v>
      </c>
      <c r="R1590" s="276">
        <v>1.75</v>
      </c>
    </row>
    <row r="1591" spans="17:18">
      <c r="Q1591" s="275">
        <f t="shared" si="65"/>
        <v>1.5539999999999397</v>
      </c>
      <c r="R1591" s="276">
        <v>1.75</v>
      </c>
    </row>
    <row r="1592" spans="17:18">
      <c r="Q1592" s="275">
        <f t="shared" si="65"/>
        <v>1.5549999999999395</v>
      </c>
      <c r="R1592" s="276">
        <v>1.75</v>
      </c>
    </row>
    <row r="1593" spans="17:18">
      <c r="Q1593" s="275">
        <f t="shared" si="65"/>
        <v>1.5559999999999394</v>
      </c>
      <c r="R1593" s="276">
        <v>1.75</v>
      </c>
    </row>
    <row r="1594" spans="17:18">
      <c r="Q1594" s="275">
        <f t="shared" si="65"/>
        <v>1.5569999999999393</v>
      </c>
      <c r="R1594" s="276">
        <v>1.75</v>
      </c>
    </row>
    <row r="1595" spans="17:18">
      <c r="Q1595" s="275">
        <f t="shared" si="65"/>
        <v>1.5579999999999392</v>
      </c>
      <c r="R1595" s="276">
        <v>1.75</v>
      </c>
    </row>
    <row r="1596" spans="17:18">
      <c r="Q1596" s="275">
        <f t="shared" si="65"/>
        <v>1.5589999999999391</v>
      </c>
      <c r="R1596" s="276">
        <v>1.75</v>
      </c>
    </row>
    <row r="1597" spans="17:18">
      <c r="Q1597" s="275">
        <f t="shared" si="65"/>
        <v>1.559999999999939</v>
      </c>
      <c r="R1597" s="276">
        <v>1.75</v>
      </c>
    </row>
    <row r="1598" spans="17:18">
      <c r="Q1598" s="275">
        <f t="shared" si="65"/>
        <v>1.5609999999999389</v>
      </c>
      <c r="R1598" s="276">
        <v>1.75</v>
      </c>
    </row>
    <row r="1599" spans="17:18">
      <c r="Q1599" s="275">
        <f t="shared" si="65"/>
        <v>1.5619999999999388</v>
      </c>
      <c r="R1599" s="276">
        <v>1.75</v>
      </c>
    </row>
    <row r="1600" spans="17:18">
      <c r="Q1600" s="275">
        <f t="shared" si="65"/>
        <v>1.5629999999999387</v>
      </c>
      <c r="R1600" s="276">
        <v>1.75</v>
      </c>
    </row>
    <row r="1601" spans="17:18">
      <c r="Q1601" s="275">
        <f t="shared" si="65"/>
        <v>1.5639999999999386</v>
      </c>
      <c r="R1601" s="276">
        <v>1.75</v>
      </c>
    </row>
    <row r="1602" spans="17:18">
      <c r="Q1602" s="275">
        <f t="shared" si="65"/>
        <v>1.5649999999999384</v>
      </c>
      <c r="R1602" s="276">
        <v>1.75</v>
      </c>
    </row>
    <row r="1603" spans="17:18">
      <c r="Q1603" s="275">
        <f t="shared" si="65"/>
        <v>1.5659999999999383</v>
      </c>
      <c r="R1603" s="276">
        <v>1.75</v>
      </c>
    </row>
    <row r="1604" spans="17:18">
      <c r="Q1604" s="275">
        <f t="shared" si="65"/>
        <v>1.5669999999999382</v>
      </c>
      <c r="R1604" s="276">
        <v>1.75</v>
      </c>
    </row>
    <row r="1605" spans="17:18">
      <c r="Q1605" s="275">
        <f t="shared" si="65"/>
        <v>1.5679999999999381</v>
      </c>
      <c r="R1605" s="276">
        <v>1.75</v>
      </c>
    </row>
    <row r="1606" spans="17:18">
      <c r="Q1606" s="275">
        <f t="shared" si="65"/>
        <v>1.568999999999938</v>
      </c>
      <c r="R1606" s="276">
        <v>1.75</v>
      </c>
    </row>
    <row r="1607" spans="17:18">
      <c r="Q1607" s="275">
        <f t="shared" si="65"/>
        <v>1.5699999999999379</v>
      </c>
      <c r="R1607" s="276">
        <v>1.75</v>
      </c>
    </row>
    <row r="1608" spans="17:18">
      <c r="Q1608" s="275">
        <f t="shared" si="65"/>
        <v>1.5709999999999378</v>
      </c>
      <c r="R1608" s="276">
        <v>1.75</v>
      </c>
    </row>
    <row r="1609" spans="17:18">
      <c r="Q1609" s="275">
        <f t="shared" si="65"/>
        <v>1.5719999999999377</v>
      </c>
      <c r="R1609" s="276">
        <v>1.75</v>
      </c>
    </row>
    <row r="1610" spans="17:18">
      <c r="Q1610" s="275">
        <f t="shared" si="65"/>
        <v>1.5729999999999376</v>
      </c>
      <c r="R1610" s="276">
        <v>1.75</v>
      </c>
    </row>
    <row r="1611" spans="17:18">
      <c r="Q1611" s="275">
        <f t="shared" si="65"/>
        <v>1.5739999999999374</v>
      </c>
      <c r="R1611" s="276">
        <v>1.75</v>
      </c>
    </row>
    <row r="1612" spans="17:18">
      <c r="Q1612" s="275">
        <f t="shared" si="65"/>
        <v>1.5749999999999373</v>
      </c>
      <c r="R1612" s="276">
        <v>1.75</v>
      </c>
    </row>
    <row r="1613" spans="17:18">
      <c r="Q1613" s="275">
        <f t="shared" si="65"/>
        <v>1.5759999999999372</v>
      </c>
      <c r="R1613" s="276">
        <v>1.75</v>
      </c>
    </row>
    <row r="1614" spans="17:18">
      <c r="Q1614" s="275">
        <f t="shared" si="65"/>
        <v>1.5769999999999371</v>
      </c>
      <c r="R1614" s="276">
        <v>1.75</v>
      </c>
    </row>
    <row r="1615" spans="17:18">
      <c r="Q1615" s="275">
        <f t="shared" si="65"/>
        <v>1.577999999999937</v>
      </c>
      <c r="R1615" s="276">
        <v>1.75</v>
      </c>
    </row>
    <row r="1616" spans="17:18">
      <c r="Q1616" s="275">
        <f t="shared" si="65"/>
        <v>1.5789999999999369</v>
      </c>
      <c r="R1616" s="276">
        <v>1.75</v>
      </c>
    </row>
    <row r="1617" spans="17:18">
      <c r="Q1617" s="275">
        <f t="shared" si="65"/>
        <v>1.5799999999999368</v>
      </c>
      <c r="R1617" s="276">
        <v>1.75</v>
      </c>
    </row>
    <row r="1618" spans="17:18">
      <c r="Q1618" s="275">
        <f t="shared" si="65"/>
        <v>1.5809999999999367</v>
      </c>
      <c r="R1618" s="276">
        <v>1.75</v>
      </c>
    </row>
    <row r="1619" spans="17:18">
      <c r="Q1619" s="275">
        <f t="shared" si="65"/>
        <v>1.5819999999999366</v>
      </c>
      <c r="R1619" s="276">
        <v>1.75</v>
      </c>
    </row>
    <row r="1620" spans="17:18">
      <c r="Q1620" s="275">
        <f t="shared" si="65"/>
        <v>1.5829999999999365</v>
      </c>
      <c r="R1620" s="276">
        <v>1.75</v>
      </c>
    </row>
    <row r="1621" spans="17:18">
      <c r="Q1621" s="275">
        <f t="shared" si="65"/>
        <v>1.5839999999999363</v>
      </c>
      <c r="R1621" s="276">
        <v>1.75</v>
      </c>
    </row>
    <row r="1622" spans="17:18">
      <c r="Q1622" s="275">
        <f t="shared" si="65"/>
        <v>1.5849999999999362</v>
      </c>
      <c r="R1622" s="276">
        <v>1.75</v>
      </c>
    </row>
    <row r="1623" spans="17:18">
      <c r="Q1623" s="275">
        <f t="shared" si="65"/>
        <v>1.5859999999999361</v>
      </c>
      <c r="R1623" s="276">
        <v>1.75</v>
      </c>
    </row>
    <row r="1624" spans="17:18">
      <c r="Q1624" s="275">
        <f t="shared" si="65"/>
        <v>1.586999999999936</v>
      </c>
      <c r="R1624" s="276">
        <v>1.75</v>
      </c>
    </row>
    <row r="1625" spans="17:18">
      <c r="Q1625" s="275">
        <f t="shared" si="65"/>
        <v>1.5879999999999359</v>
      </c>
      <c r="R1625" s="276">
        <v>1.75</v>
      </c>
    </row>
    <row r="1626" spans="17:18">
      <c r="Q1626" s="275">
        <f t="shared" si="65"/>
        <v>1.5889999999999358</v>
      </c>
      <c r="R1626" s="276">
        <v>1.75</v>
      </c>
    </row>
    <row r="1627" spans="17:18">
      <c r="Q1627" s="275">
        <f t="shared" si="65"/>
        <v>1.5899999999999357</v>
      </c>
      <c r="R1627" s="276">
        <v>1.75</v>
      </c>
    </row>
    <row r="1628" spans="17:18">
      <c r="Q1628" s="275">
        <f t="shared" si="65"/>
        <v>1.5909999999999356</v>
      </c>
      <c r="R1628" s="276">
        <v>1.75</v>
      </c>
    </row>
    <row r="1629" spans="17:18">
      <c r="Q1629" s="275">
        <f t="shared" si="65"/>
        <v>1.5919999999999355</v>
      </c>
      <c r="R1629" s="276">
        <v>1.75</v>
      </c>
    </row>
    <row r="1630" spans="17:18">
      <c r="Q1630" s="275">
        <f t="shared" si="65"/>
        <v>1.5929999999999354</v>
      </c>
      <c r="R1630" s="276">
        <v>1.75</v>
      </c>
    </row>
    <row r="1631" spans="17:18">
      <c r="Q1631" s="275">
        <f t="shared" si="65"/>
        <v>1.5939999999999352</v>
      </c>
      <c r="R1631" s="276">
        <v>1.75</v>
      </c>
    </row>
    <row r="1632" spans="17:18">
      <c r="Q1632" s="275">
        <f t="shared" si="65"/>
        <v>1.5949999999999351</v>
      </c>
      <c r="R1632" s="276">
        <v>1.75</v>
      </c>
    </row>
    <row r="1633" spans="17:18">
      <c r="Q1633" s="275">
        <f t="shared" si="65"/>
        <v>1.595999999999935</v>
      </c>
      <c r="R1633" s="276">
        <v>1.75</v>
      </c>
    </row>
    <row r="1634" spans="17:18">
      <c r="Q1634" s="275">
        <f t="shared" si="65"/>
        <v>1.5969999999999349</v>
      </c>
      <c r="R1634" s="276">
        <v>1.75</v>
      </c>
    </row>
    <row r="1635" spans="17:18">
      <c r="Q1635" s="275">
        <f t="shared" si="65"/>
        <v>1.5979999999999348</v>
      </c>
      <c r="R1635" s="276">
        <v>1.75</v>
      </c>
    </row>
    <row r="1636" spans="17:18">
      <c r="Q1636" s="275">
        <f t="shared" si="65"/>
        <v>1.5989999999999347</v>
      </c>
      <c r="R1636" s="276">
        <v>1.75</v>
      </c>
    </row>
    <row r="1637" spans="17:18">
      <c r="Q1637" s="275">
        <f t="shared" si="65"/>
        <v>1.5999999999999346</v>
      </c>
      <c r="R1637" s="276">
        <v>1.75</v>
      </c>
    </row>
    <row r="1638" spans="17:18">
      <c r="Q1638" s="275">
        <f t="shared" si="65"/>
        <v>1.6009999999999345</v>
      </c>
      <c r="R1638" s="276">
        <v>1.75</v>
      </c>
    </row>
    <row r="1639" spans="17:18">
      <c r="Q1639" s="275">
        <f t="shared" ref="Q1639:Q1702" si="66">Q1638+0.001</f>
        <v>1.6019999999999344</v>
      </c>
      <c r="R1639" s="276">
        <v>1.75</v>
      </c>
    </row>
    <row r="1640" spans="17:18">
      <c r="Q1640" s="275">
        <f t="shared" si="66"/>
        <v>1.6029999999999343</v>
      </c>
      <c r="R1640" s="276">
        <v>1.75</v>
      </c>
    </row>
    <row r="1641" spans="17:18">
      <c r="Q1641" s="275">
        <f t="shared" si="66"/>
        <v>1.6039999999999341</v>
      </c>
      <c r="R1641" s="276">
        <v>1.75</v>
      </c>
    </row>
    <row r="1642" spans="17:18">
      <c r="Q1642" s="275">
        <f t="shared" si="66"/>
        <v>1.604999999999934</v>
      </c>
      <c r="R1642" s="276">
        <v>1.75</v>
      </c>
    </row>
    <row r="1643" spans="17:18">
      <c r="Q1643" s="275">
        <f t="shared" si="66"/>
        <v>1.6059999999999339</v>
      </c>
      <c r="R1643" s="276">
        <v>1.75</v>
      </c>
    </row>
    <row r="1644" spans="17:18">
      <c r="Q1644" s="275">
        <f t="shared" si="66"/>
        <v>1.6069999999999338</v>
      </c>
      <c r="R1644" s="276">
        <v>1.75</v>
      </c>
    </row>
    <row r="1645" spans="17:18">
      <c r="Q1645" s="275">
        <f t="shared" si="66"/>
        <v>1.6079999999999337</v>
      </c>
      <c r="R1645" s="276">
        <v>1.75</v>
      </c>
    </row>
    <row r="1646" spans="17:18">
      <c r="Q1646" s="275">
        <f t="shared" si="66"/>
        <v>1.6089999999999336</v>
      </c>
      <c r="R1646" s="276">
        <v>1.75</v>
      </c>
    </row>
    <row r="1647" spans="17:18">
      <c r="Q1647" s="275">
        <f t="shared" si="66"/>
        <v>1.6099999999999335</v>
      </c>
      <c r="R1647" s="276">
        <v>1.75</v>
      </c>
    </row>
    <row r="1648" spans="17:18">
      <c r="Q1648" s="275">
        <f t="shared" si="66"/>
        <v>1.6109999999999334</v>
      </c>
      <c r="R1648" s="276">
        <v>1.75</v>
      </c>
    </row>
    <row r="1649" spans="17:18">
      <c r="Q1649" s="275">
        <f t="shared" si="66"/>
        <v>1.6119999999999333</v>
      </c>
      <c r="R1649" s="276">
        <v>1.75</v>
      </c>
    </row>
    <row r="1650" spans="17:18">
      <c r="Q1650" s="275">
        <f t="shared" si="66"/>
        <v>1.6129999999999332</v>
      </c>
      <c r="R1650" s="276">
        <v>1.75</v>
      </c>
    </row>
    <row r="1651" spans="17:18">
      <c r="Q1651" s="275">
        <f t="shared" si="66"/>
        <v>1.613999999999933</v>
      </c>
      <c r="R1651" s="276">
        <v>1.75</v>
      </c>
    </row>
    <row r="1652" spans="17:18">
      <c r="Q1652" s="275">
        <f t="shared" si="66"/>
        <v>1.6149999999999329</v>
      </c>
      <c r="R1652" s="276">
        <v>1.75</v>
      </c>
    </row>
    <row r="1653" spans="17:18">
      <c r="Q1653" s="275">
        <f t="shared" si="66"/>
        <v>1.6159999999999328</v>
      </c>
      <c r="R1653" s="276">
        <v>1.75</v>
      </c>
    </row>
    <row r="1654" spans="17:18">
      <c r="Q1654" s="275">
        <f t="shared" si="66"/>
        <v>1.6169999999999327</v>
      </c>
      <c r="R1654" s="276">
        <v>1.75</v>
      </c>
    </row>
    <row r="1655" spans="17:18">
      <c r="Q1655" s="275">
        <f t="shared" si="66"/>
        <v>1.6179999999999326</v>
      </c>
      <c r="R1655" s="276">
        <v>1.75</v>
      </c>
    </row>
    <row r="1656" spans="17:18">
      <c r="Q1656" s="275">
        <f t="shared" si="66"/>
        <v>1.6189999999999325</v>
      </c>
      <c r="R1656" s="276">
        <v>1.75</v>
      </c>
    </row>
    <row r="1657" spans="17:18">
      <c r="Q1657" s="275">
        <f t="shared" si="66"/>
        <v>1.6199999999999324</v>
      </c>
      <c r="R1657" s="276">
        <v>1.75</v>
      </c>
    </row>
    <row r="1658" spans="17:18">
      <c r="Q1658" s="275">
        <f t="shared" si="66"/>
        <v>1.6209999999999323</v>
      </c>
      <c r="R1658" s="276">
        <v>1.75</v>
      </c>
    </row>
    <row r="1659" spans="17:18">
      <c r="Q1659" s="275">
        <f t="shared" si="66"/>
        <v>1.6219999999999322</v>
      </c>
      <c r="R1659" s="276">
        <v>1.75</v>
      </c>
    </row>
    <row r="1660" spans="17:18">
      <c r="Q1660" s="275">
        <f t="shared" si="66"/>
        <v>1.6229999999999321</v>
      </c>
      <c r="R1660" s="276">
        <v>1.75</v>
      </c>
    </row>
    <row r="1661" spans="17:18">
      <c r="Q1661" s="275">
        <f t="shared" si="66"/>
        <v>1.6239999999999319</v>
      </c>
      <c r="R1661" s="276">
        <v>1.75</v>
      </c>
    </row>
    <row r="1662" spans="17:18">
      <c r="Q1662" s="275">
        <f t="shared" si="66"/>
        <v>1.6249999999999318</v>
      </c>
      <c r="R1662" s="276">
        <v>1.75</v>
      </c>
    </row>
    <row r="1663" spans="17:18">
      <c r="Q1663" s="275">
        <f t="shared" si="66"/>
        <v>1.6259999999999317</v>
      </c>
      <c r="R1663" s="276">
        <v>1.75</v>
      </c>
    </row>
    <row r="1664" spans="17:18">
      <c r="Q1664" s="275">
        <f t="shared" si="66"/>
        <v>1.6269999999999316</v>
      </c>
      <c r="R1664" s="276">
        <v>1.75</v>
      </c>
    </row>
    <row r="1665" spans="17:18">
      <c r="Q1665" s="275">
        <f t="shared" si="66"/>
        <v>1.6279999999999315</v>
      </c>
      <c r="R1665" s="276">
        <v>1.75</v>
      </c>
    </row>
    <row r="1666" spans="17:18">
      <c r="Q1666" s="275">
        <f t="shared" si="66"/>
        <v>1.6289999999999314</v>
      </c>
      <c r="R1666" s="276">
        <v>1.75</v>
      </c>
    </row>
    <row r="1667" spans="17:18">
      <c r="Q1667" s="275">
        <f t="shared" si="66"/>
        <v>1.6299999999999313</v>
      </c>
      <c r="R1667" s="276">
        <v>1.75</v>
      </c>
    </row>
    <row r="1668" spans="17:18">
      <c r="Q1668" s="275">
        <f t="shared" si="66"/>
        <v>1.6309999999999312</v>
      </c>
      <c r="R1668" s="276">
        <v>1.75</v>
      </c>
    </row>
    <row r="1669" spans="17:18">
      <c r="Q1669" s="275">
        <f t="shared" si="66"/>
        <v>1.6319999999999311</v>
      </c>
      <c r="R1669" s="276">
        <v>1.75</v>
      </c>
    </row>
    <row r="1670" spans="17:18">
      <c r="Q1670" s="275">
        <f t="shared" si="66"/>
        <v>1.632999999999931</v>
      </c>
      <c r="R1670" s="276">
        <v>1.75</v>
      </c>
    </row>
    <row r="1671" spans="17:18">
      <c r="Q1671" s="275">
        <f t="shared" si="66"/>
        <v>1.6339999999999308</v>
      </c>
      <c r="R1671" s="276">
        <v>1.75</v>
      </c>
    </row>
    <row r="1672" spans="17:18">
      <c r="Q1672" s="275">
        <f t="shared" si="66"/>
        <v>1.6349999999999307</v>
      </c>
      <c r="R1672" s="276">
        <v>1.75</v>
      </c>
    </row>
    <row r="1673" spans="17:18">
      <c r="Q1673" s="275">
        <f t="shared" si="66"/>
        <v>1.6359999999999306</v>
      </c>
      <c r="R1673" s="276">
        <v>1.75</v>
      </c>
    </row>
    <row r="1674" spans="17:18">
      <c r="Q1674" s="275">
        <f t="shared" si="66"/>
        <v>1.6369999999999305</v>
      </c>
      <c r="R1674" s="276">
        <v>1.75</v>
      </c>
    </row>
    <row r="1675" spans="17:18">
      <c r="Q1675" s="275">
        <f t="shared" si="66"/>
        <v>1.6379999999999304</v>
      </c>
      <c r="R1675" s="276">
        <v>1.75</v>
      </c>
    </row>
    <row r="1676" spans="17:18">
      <c r="Q1676" s="275">
        <f t="shared" si="66"/>
        <v>1.6389999999999303</v>
      </c>
      <c r="R1676" s="276">
        <v>1.75</v>
      </c>
    </row>
    <row r="1677" spans="17:18">
      <c r="Q1677" s="275">
        <f t="shared" si="66"/>
        <v>1.6399999999999302</v>
      </c>
      <c r="R1677" s="276">
        <v>1.75</v>
      </c>
    </row>
    <row r="1678" spans="17:18">
      <c r="Q1678" s="275">
        <f t="shared" si="66"/>
        <v>1.6409999999999301</v>
      </c>
      <c r="R1678" s="276">
        <v>1.75</v>
      </c>
    </row>
    <row r="1679" spans="17:18">
      <c r="Q1679" s="275">
        <f t="shared" si="66"/>
        <v>1.64199999999993</v>
      </c>
      <c r="R1679" s="276">
        <v>1.75</v>
      </c>
    </row>
    <row r="1680" spans="17:18">
      <c r="Q1680" s="275">
        <f t="shared" si="66"/>
        <v>1.6429999999999298</v>
      </c>
      <c r="R1680" s="276">
        <v>1.75</v>
      </c>
    </row>
    <row r="1681" spans="17:18">
      <c r="Q1681" s="275">
        <f t="shared" si="66"/>
        <v>1.6439999999999297</v>
      </c>
      <c r="R1681" s="276">
        <v>1.75</v>
      </c>
    </row>
    <row r="1682" spans="17:18">
      <c r="Q1682" s="275">
        <f t="shared" si="66"/>
        <v>1.6449999999999296</v>
      </c>
      <c r="R1682" s="276">
        <v>1.75</v>
      </c>
    </row>
    <row r="1683" spans="17:18">
      <c r="Q1683" s="275">
        <f t="shared" si="66"/>
        <v>1.6459999999999295</v>
      </c>
      <c r="R1683" s="276">
        <v>1.75</v>
      </c>
    </row>
    <row r="1684" spans="17:18">
      <c r="Q1684" s="275">
        <f t="shared" si="66"/>
        <v>1.6469999999999294</v>
      </c>
      <c r="R1684" s="276">
        <v>1.75</v>
      </c>
    </row>
    <row r="1685" spans="17:18">
      <c r="Q1685" s="275">
        <f t="shared" si="66"/>
        <v>1.6479999999999293</v>
      </c>
      <c r="R1685" s="276">
        <v>1.75</v>
      </c>
    </row>
    <row r="1686" spans="17:18">
      <c r="Q1686" s="275">
        <f t="shared" si="66"/>
        <v>1.6489999999999292</v>
      </c>
      <c r="R1686" s="276">
        <v>1.75</v>
      </c>
    </row>
    <row r="1687" spans="17:18">
      <c r="Q1687" s="275">
        <f t="shared" si="66"/>
        <v>1.6499999999999291</v>
      </c>
      <c r="R1687" s="276">
        <v>1.75</v>
      </c>
    </row>
    <row r="1688" spans="17:18">
      <c r="Q1688" s="275">
        <f t="shared" si="66"/>
        <v>1.650999999999929</v>
      </c>
      <c r="R1688" s="276">
        <v>1.75</v>
      </c>
    </row>
    <row r="1689" spans="17:18">
      <c r="Q1689" s="275">
        <f t="shared" si="66"/>
        <v>1.6519999999999289</v>
      </c>
      <c r="R1689" s="276">
        <v>1.75</v>
      </c>
    </row>
    <row r="1690" spans="17:18">
      <c r="Q1690" s="275">
        <f t="shared" si="66"/>
        <v>1.6529999999999287</v>
      </c>
      <c r="R1690" s="276">
        <v>1.75</v>
      </c>
    </row>
    <row r="1691" spans="17:18">
      <c r="Q1691" s="275">
        <f t="shared" si="66"/>
        <v>1.6539999999999286</v>
      </c>
      <c r="R1691" s="276">
        <v>1.75</v>
      </c>
    </row>
    <row r="1692" spans="17:18">
      <c r="Q1692" s="275">
        <f t="shared" si="66"/>
        <v>1.6549999999999285</v>
      </c>
      <c r="R1692" s="276">
        <v>1.75</v>
      </c>
    </row>
    <row r="1693" spans="17:18">
      <c r="Q1693" s="275">
        <f t="shared" si="66"/>
        <v>1.6559999999999284</v>
      </c>
      <c r="R1693" s="276">
        <v>1.75</v>
      </c>
    </row>
    <row r="1694" spans="17:18">
      <c r="Q1694" s="275">
        <f t="shared" si="66"/>
        <v>1.6569999999999283</v>
      </c>
      <c r="R1694" s="276">
        <v>1.75</v>
      </c>
    </row>
    <row r="1695" spans="17:18">
      <c r="Q1695" s="275">
        <f t="shared" si="66"/>
        <v>1.6579999999999282</v>
      </c>
      <c r="R1695" s="276">
        <v>1.75</v>
      </c>
    </row>
    <row r="1696" spans="17:18">
      <c r="Q1696" s="275">
        <f t="shared" si="66"/>
        <v>1.6589999999999281</v>
      </c>
      <c r="R1696" s="276">
        <v>1.75</v>
      </c>
    </row>
    <row r="1697" spans="17:18">
      <c r="Q1697" s="275">
        <f t="shared" si="66"/>
        <v>1.659999999999928</v>
      </c>
      <c r="R1697" s="276">
        <v>1.75</v>
      </c>
    </row>
    <row r="1698" spans="17:18">
      <c r="Q1698" s="275">
        <f t="shared" si="66"/>
        <v>1.6609999999999279</v>
      </c>
      <c r="R1698" s="276">
        <v>1.75</v>
      </c>
    </row>
    <row r="1699" spans="17:18">
      <c r="Q1699" s="275">
        <f t="shared" si="66"/>
        <v>1.6619999999999278</v>
      </c>
      <c r="R1699" s="276">
        <v>1.75</v>
      </c>
    </row>
    <row r="1700" spans="17:18">
      <c r="Q1700" s="275">
        <f t="shared" si="66"/>
        <v>1.6629999999999276</v>
      </c>
      <c r="R1700" s="276">
        <v>1.75</v>
      </c>
    </row>
    <row r="1701" spans="17:18">
      <c r="Q1701" s="275">
        <f t="shared" si="66"/>
        <v>1.6639999999999275</v>
      </c>
      <c r="R1701" s="276">
        <v>1.75</v>
      </c>
    </row>
    <row r="1702" spans="17:18">
      <c r="Q1702" s="275">
        <f t="shared" si="66"/>
        <v>1.6649999999999274</v>
      </c>
      <c r="R1702" s="276">
        <v>1.75</v>
      </c>
    </row>
    <row r="1703" spans="17:18">
      <c r="Q1703" s="275">
        <f t="shared" ref="Q1703:Q1766" si="67">Q1702+0.001</f>
        <v>1.6659999999999273</v>
      </c>
      <c r="R1703" s="276">
        <v>1.75</v>
      </c>
    </row>
    <row r="1704" spans="17:18">
      <c r="Q1704" s="275">
        <f t="shared" si="67"/>
        <v>1.6669999999999272</v>
      </c>
      <c r="R1704" s="276">
        <v>1.75</v>
      </c>
    </row>
    <row r="1705" spans="17:18">
      <c r="Q1705" s="275">
        <f t="shared" si="67"/>
        <v>1.6679999999999271</v>
      </c>
      <c r="R1705" s="276">
        <v>1.75</v>
      </c>
    </row>
    <row r="1706" spans="17:18">
      <c r="Q1706" s="275">
        <f t="shared" si="67"/>
        <v>1.668999999999927</v>
      </c>
      <c r="R1706" s="276">
        <v>1.75</v>
      </c>
    </row>
    <row r="1707" spans="17:18">
      <c r="Q1707" s="275">
        <f t="shared" si="67"/>
        <v>1.6699999999999269</v>
      </c>
      <c r="R1707" s="276">
        <v>1.75</v>
      </c>
    </row>
    <row r="1708" spans="17:18">
      <c r="Q1708" s="275">
        <f t="shared" si="67"/>
        <v>1.6709999999999268</v>
      </c>
      <c r="R1708" s="276">
        <v>1.75</v>
      </c>
    </row>
    <row r="1709" spans="17:18">
      <c r="Q1709" s="275">
        <f t="shared" si="67"/>
        <v>1.6719999999999267</v>
      </c>
      <c r="R1709" s="276">
        <v>1.75</v>
      </c>
    </row>
    <row r="1710" spans="17:18">
      <c r="Q1710" s="275">
        <f t="shared" si="67"/>
        <v>1.6729999999999265</v>
      </c>
      <c r="R1710" s="276">
        <v>1.75</v>
      </c>
    </row>
    <row r="1711" spans="17:18">
      <c r="Q1711" s="275">
        <f t="shared" si="67"/>
        <v>1.6739999999999264</v>
      </c>
      <c r="R1711" s="276">
        <v>1.75</v>
      </c>
    </row>
    <row r="1712" spans="17:18">
      <c r="Q1712" s="275">
        <f t="shared" si="67"/>
        <v>1.6749999999999263</v>
      </c>
      <c r="R1712" s="276">
        <v>1.75</v>
      </c>
    </row>
    <row r="1713" spans="17:18">
      <c r="Q1713" s="275">
        <f t="shared" si="67"/>
        <v>1.6759999999999262</v>
      </c>
      <c r="R1713" s="276">
        <v>1.75</v>
      </c>
    </row>
    <row r="1714" spans="17:18">
      <c r="Q1714" s="275">
        <f t="shared" si="67"/>
        <v>1.6769999999999261</v>
      </c>
      <c r="R1714" s="276">
        <v>1.75</v>
      </c>
    </row>
    <row r="1715" spans="17:18">
      <c r="Q1715" s="275">
        <f t="shared" si="67"/>
        <v>1.677999999999926</v>
      </c>
      <c r="R1715" s="276">
        <v>1.75</v>
      </c>
    </row>
    <row r="1716" spans="17:18">
      <c r="Q1716" s="275">
        <f t="shared" si="67"/>
        <v>1.6789999999999259</v>
      </c>
      <c r="R1716" s="276">
        <v>1.75</v>
      </c>
    </row>
    <row r="1717" spans="17:18">
      <c r="Q1717" s="275">
        <f t="shared" si="67"/>
        <v>1.6799999999999258</v>
      </c>
      <c r="R1717" s="276">
        <v>1.75</v>
      </c>
    </row>
    <row r="1718" spans="17:18">
      <c r="Q1718" s="275">
        <f t="shared" si="67"/>
        <v>1.6809999999999257</v>
      </c>
      <c r="R1718" s="276">
        <v>1.75</v>
      </c>
    </row>
    <row r="1719" spans="17:18">
      <c r="Q1719" s="275">
        <f t="shared" si="67"/>
        <v>1.6819999999999256</v>
      </c>
      <c r="R1719" s="276">
        <v>1.75</v>
      </c>
    </row>
    <row r="1720" spans="17:18">
      <c r="Q1720" s="275">
        <f t="shared" si="67"/>
        <v>1.6829999999999254</v>
      </c>
      <c r="R1720" s="276">
        <v>1.75</v>
      </c>
    </row>
    <row r="1721" spans="17:18">
      <c r="Q1721" s="275">
        <f t="shared" si="67"/>
        <v>1.6839999999999253</v>
      </c>
      <c r="R1721" s="276">
        <v>1.75</v>
      </c>
    </row>
    <row r="1722" spans="17:18">
      <c r="Q1722" s="275">
        <f t="shared" si="67"/>
        <v>1.6849999999999252</v>
      </c>
      <c r="R1722" s="276">
        <v>1.75</v>
      </c>
    </row>
    <row r="1723" spans="17:18">
      <c r="Q1723" s="275">
        <f t="shared" si="67"/>
        <v>1.6859999999999251</v>
      </c>
      <c r="R1723" s="276">
        <v>1.75</v>
      </c>
    </row>
    <row r="1724" spans="17:18">
      <c r="Q1724" s="275">
        <f t="shared" si="67"/>
        <v>1.686999999999925</v>
      </c>
      <c r="R1724" s="276">
        <v>1.75</v>
      </c>
    </row>
    <row r="1725" spans="17:18">
      <c r="Q1725" s="275">
        <f t="shared" si="67"/>
        <v>1.6879999999999249</v>
      </c>
      <c r="R1725" s="276">
        <v>1.75</v>
      </c>
    </row>
    <row r="1726" spans="17:18">
      <c r="Q1726" s="275">
        <f t="shared" si="67"/>
        <v>1.6889999999999248</v>
      </c>
      <c r="R1726" s="276">
        <v>1.75</v>
      </c>
    </row>
    <row r="1727" spans="17:18">
      <c r="Q1727" s="275">
        <f t="shared" si="67"/>
        <v>1.6899999999999247</v>
      </c>
      <c r="R1727" s="276">
        <v>1.75</v>
      </c>
    </row>
    <row r="1728" spans="17:18">
      <c r="Q1728" s="275">
        <f t="shared" si="67"/>
        <v>1.6909999999999246</v>
      </c>
      <c r="R1728" s="276">
        <v>1.75</v>
      </c>
    </row>
    <row r="1729" spans="17:18">
      <c r="Q1729" s="275">
        <f t="shared" si="67"/>
        <v>1.6919999999999245</v>
      </c>
      <c r="R1729" s="276">
        <v>1.75</v>
      </c>
    </row>
    <row r="1730" spans="17:18">
      <c r="Q1730" s="275">
        <f t="shared" si="67"/>
        <v>1.6929999999999243</v>
      </c>
      <c r="R1730" s="276">
        <v>1.75</v>
      </c>
    </row>
    <row r="1731" spans="17:18">
      <c r="Q1731" s="275">
        <f t="shared" si="67"/>
        <v>1.6939999999999242</v>
      </c>
      <c r="R1731" s="276">
        <v>1.75</v>
      </c>
    </row>
    <row r="1732" spans="17:18">
      <c r="Q1732" s="275">
        <f t="shared" si="67"/>
        <v>1.6949999999999241</v>
      </c>
      <c r="R1732" s="276">
        <v>1.75</v>
      </c>
    </row>
    <row r="1733" spans="17:18">
      <c r="Q1733" s="275">
        <f t="shared" si="67"/>
        <v>1.695999999999924</v>
      </c>
      <c r="R1733" s="276">
        <v>1.75</v>
      </c>
    </row>
    <row r="1734" spans="17:18">
      <c r="Q1734" s="275">
        <f t="shared" si="67"/>
        <v>1.6969999999999239</v>
      </c>
      <c r="R1734" s="276">
        <v>1.75</v>
      </c>
    </row>
    <row r="1735" spans="17:18">
      <c r="Q1735" s="275">
        <f t="shared" si="67"/>
        <v>1.6979999999999238</v>
      </c>
      <c r="R1735" s="276">
        <v>1.75</v>
      </c>
    </row>
    <row r="1736" spans="17:18">
      <c r="Q1736" s="275">
        <f t="shared" si="67"/>
        <v>1.6989999999999237</v>
      </c>
      <c r="R1736" s="276">
        <v>1.75</v>
      </c>
    </row>
    <row r="1737" spans="17:18">
      <c r="Q1737" s="275">
        <f t="shared" si="67"/>
        <v>1.6999999999999236</v>
      </c>
      <c r="R1737" s="276">
        <v>1.75</v>
      </c>
    </row>
    <row r="1738" spans="17:18">
      <c r="Q1738" s="275">
        <f t="shared" si="67"/>
        <v>1.7009999999999235</v>
      </c>
      <c r="R1738" s="276">
        <v>1.75</v>
      </c>
    </row>
    <row r="1739" spans="17:18">
      <c r="Q1739" s="275">
        <f t="shared" si="67"/>
        <v>1.7019999999999234</v>
      </c>
      <c r="R1739" s="276">
        <v>1.75</v>
      </c>
    </row>
    <row r="1740" spans="17:18">
      <c r="Q1740" s="275">
        <f t="shared" si="67"/>
        <v>1.7029999999999232</v>
      </c>
      <c r="R1740" s="276">
        <v>1.75</v>
      </c>
    </row>
    <row r="1741" spans="17:18">
      <c r="Q1741" s="275">
        <f t="shared" si="67"/>
        <v>1.7039999999999231</v>
      </c>
      <c r="R1741" s="276">
        <v>1.75</v>
      </c>
    </row>
    <row r="1742" spans="17:18">
      <c r="Q1742" s="275">
        <f t="shared" si="67"/>
        <v>1.704999999999923</v>
      </c>
      <c r="R1742" s="276">
        <v>1.75</v>
      </c>
    </row>
    <row r="1743" spans="17:18">
      <c r="Q1743" s="275">
        <f t="shared" si="67"/>
        <v>1.7059999999999229</v>
      </c>
      <c r="R1743" s="276">
        <v>1.75</v>
      </c>
    </row>
    <row r="1744" spans="17:18">
      <c r="Q1744" s="275">
        <f t="shared" si="67"/>
        <v>1.7069999999999228</v>
      </c>
      <c r="R1744" s="276">
        <v>1.75</v>
      </c>
    </row>
    <row r="1745" spans="17:18">
      <c r="Q1745" s="275">
        <f t="shared" si="67"/>
        <v>1.7079999999999227</v>
      </c>
      <c r="R1745" s="276">
        <v>1.75</v>
      </c>
    </row>
    <row r="1746" spans="17:18">
      <c r="Q1746" s="275">
        <f t="shared" si="67"/>
        <v>1.7089999999999226</v>
      </c>
      <c r="R1746" s="276">
        <v>1.75</v>
      </c>
    </row>
    <row r="1747" spans="17:18">
      <c r="Q1747" s="275">
        <f t="shared" si="67"/>
        <v>1.7099999999999225</v>
      </c>
      <c r="R1747" s="276">
        <v>1.75</v>
      </c>
    </row>
    <row r="1748" spans="17:18">
      <c r="Q1748" s="275">
        <f t="shared" si="67"/>
        <v>1.7109999999999224</v>
      </c>
      <c r="R1748" s="276">
        <v>1.75</v>
      </c>
    </row>
    <row r="1749" spans="17:18">
      <c r="Q1749" s="275">
        <f t="shared" si="67"/>
        <v>1.7119999999999223</v>
      </c>
      <c r="R1749" s="276">
        <v>1.75</v>
      </c>
    </row>
    <row r="1750" spans="17:18">
      <c r="Q1750" s="275">
        <f t="shared" si="67"/>
        <v>1.7129999999999221</v>
      </c>
      <c r="R1750" s="276">
        <v>1.75</v>
      </c>
    </row>
    <row r="1751" spans="17:18">
      <c r="Q1751" s="275">
        <f t="shared" si="67"/>
        <v>1.713999999999922</v>
      </c>
      <c r="R1751" s="276">
        <v>1.75</v>
      </c>
    </row>
    <row r="1752" spans="17:18">
      <c r="Q1752" s="275">
        <f t="shared" si="67"/>
        <v>1.7149999999999219</v>
      </c>
      <c r="R1752" s="276">
        <v>1.75</v>
      </c>
    </row>
    <row r="1753" spans="17:18">
      <c r="Q1753" s="275">
        <f t="shared" si="67"/>
        <v>1.7159999999999218</v>
      </c>
      <c r="R1753" s="276">
        <v>1.75</v>
      </c>
    </row>
    <row r="1754" spans="17:18">
      <c r="Q1754" s="275">
        <f t="shared" si="67"/>
        <v>1.7169999999999217</v>
      </c>
      <c r="R1754" s="276">
        <v>1.75</v>
      </c>
    </row>
    <row r="1755" spans="17:18">
      <c r="Q1755" s="275">
        <f t="shared" si="67"/>
        <v>1.7179999999999216</v>
      </c>
      <c r="R1755" s="276">
        <v>1.75</v>
      </c>
    </row>
    <row r="1756" spans="17:18">
      <c r="Q1756" s="275">
        <f t="shared" si="67"/>
        <v>1.7189999999999215</v>
      </c>
      <c r="R1756" s="276">
        <v>1.75</v>
      </c>
    </row>
    <row r="1757" spans="17:18">
      <c r="Q1757" s="275">
        <f t="shared" si="67"/>
        <v>1.7199999999999214</v>
      </c>
      <c r="R1757" s="276">
        <v>1.75</v>
      </c>
    </row>
    <row r="1758" spans="17:18">
      <c r="Q1758" s="275">
        <f t="shared" si="67"/>
        <v>1.7209999999999213</v>
      </c>
      <c r="R1758" s="276">
        <v>1.75</v>
      </c>
    </row>
    <row r="1759" spans="17:18">
      <c r="Q1759" s="275">
        <f t="shared" si="67"/>
        <v>1.7219999999999211</v>
      </c>
      <c r="R1759" s="276">
        <v>1.75</v>
      </c>
    </row>
    <row r="1760" spans="17:18">
      <c r="Q1760" s="275">
        <f t="shared" si="67"/>
        <v>1.722999999999921</v>
      </c>
      <c r="R1760" s="276">
        <v>1.75</v>
      </c>
    </row>
    <row r="1761" spans="17:18">
      <c r="Q1761" s="275">
        <f t="shared" si="67"/>
        <v>1.7239999999999209</v>
      </c>
      <c r="R1761" s="276">
        <v>1.75</v>
      </c>
    </row>
    <row r="1762" spans="17:18">
      <c r="Q1762" s="275">
        <f t="shared" si="67"/>
        <v>1.7249999999999208</v>
      </c>
      <c r="R1762" s="276">
        <v>1.75</v>
      </c>
    </row>
    <row r="1763" spans="17:18">
      <c r="Q1763" s="275">
        <f t="shared" si="67"/>
        <v>1.7259999999999207</v>
      </c>
      <c r="R1763" s="276">
        <v>1.75</v>
      </c>
    </row>
    <row r="1764" spans="17:18">
      <c r="Q1764" s="275">
        <f t="shared" si="67"/>
        <v>1.7269999999999206</v>
      </c>
      <c r="R1764" s="276">
        <v>1.75</v>
      </c>
    </row>
    <row r="1765" spans="17:18">
      <c r="Q1765" s="275">
        <f t="shared" si="67"/>
        <v>1.7279999999999205</v>
      </c>
      <c r="R1765" s="276">
        <v>1.75</v>
      </c>
    </row>
    <row r="1766" spans="17:18">
      <c r="Q1766" s="275">
        <f t="shared" si="67"/>
        <v>1.7289999999999204</v>
      </c>
      <c r="R1766" s="276">
        <v>1.75</v>
      </c>
    </row>
    <row r="1767" spans="17:18">
      <c r="Q1767" s="275">
        <f t="shared" ref="Q1767:Q1830" si="68">Q1766+0.001</f>
        <v>1.7299999999999203</v>
      </c>
      <c r="R1767" s="276">
        <v>1.75</v>
      </c>
    </row>
    <row r="1768" spans="17:18">
      <c r="Q1768" s="275">
        <f t="shared" si="68"/>
        <v>1.7309999999999202</v>
      </c>
      <c r="R1768" s="276">
        <v>1.75</v>
      </c>
    </row>
    <row r="1769" spans="17:18">
      <c r="Q1769" s="275">
        <f t="shared" si="68"/>
        <v>1.73199999999992</v>
      </c>
      <c r="R1769" s="276">
        <v>1.75</v>
      </c>
    </row>
    <row r="1770" spans="17:18">
      <c r="Q1770" s="275">
        <f t="shared" si="68"/>
        <v>1.7329999999999199</v>
      </c>
      <c r="R1770" s="276">
        <v>1.75</v>
      </c>
    </row>
    <row r="1771" spans="17:18">
      <c r="Q1771" s="275">
        <f t="shared" si="68"/>
        <v>1.7339999999999198</v>
      </c>
      <c r="R1771" s="276">
        <v>1.75</v>
      </c>
    </row>
    <row r="1772" spans="17:18">
      <c r="Q1772" s="275">
        <f t="shared" si="68"/>
        <v>1.7349999999999197</v>
      </c>
      <c r="R1772" s="276">
        <v>1.75</v>
      </c>
    </row>
    <row r="1773" spans="17:18">
      <c r="Q1773" s="275">
        <f t="shared" si="68"/>
        <v>1.7359999999999196</v>
      </c>
      <c r="R1773" s="276">
        <v>1.75</v>
      </c>
    </row>
    <row r="1774" spans="17:18">
      <c r="Q1774" s="275">
        <f t="shared" si="68"/>
        <v>1.7369999999999195</v>
      </c>
      <c r="R1774" s="276">
        <v>1.75</v>
      </c>
    </row>
    <row r="1775" spans="17:18">
      <c r="Q1775" s="275">
        <f t="shared" si="68"/>
        <v>1.7379999999999194</v>
      </c>
      <c r="R1775" s="276">
        <v>1.75</v>
      </c>
    </row>
    <row r="1776" spans="17:18">
      <c r="Q1776" s="275">
        <f t="shared" si="68"/>
        <v>1.7389999999999193</v>
      </c>
      <c r="R1776" s="276">
        <v>1.75</v>
      </c>
    </row>
    <row r="1777" spans="17:18">
      <c r="Q1777" s="275">
        <f t="shared" si="68"/>
        <v>1.7399999999999192</v>
      </c>
      <c r="R1777" s="276">
        <v>1.75</v>
      </c>
    </row>
    <row r="1778" spans="17:18">
      <c r="Q1778" s="275">
        <f t="shared" si="68"/>
        <v>1.7409999999999191</v>
      </c>
      <c r="R1778" s="276">
        <v>1.75</v>
      </c>
    </row>
    <row r="1779" spans="17:18">
      <c r="Q1779" s="275">
        <f t="shared" si="68"/>
        <v>1.7419999999999189</v>
      </c>
      <c r="R1779" s="276">
        <v>1.75</v>
      </c>
    </row>
    <row r="1780" spans="17:18">
      <c r="Q1780" s="275">
        <f t="shared" si="68"/>
        <v>1.7429999999999188</v>
      </c>
      <c r="R1780" s="276">
        <v>1.75</v>
      </c>
    </row>
    <row r="1781" spans="17:18">
      <c r="Q1781" s="275">
        <f t="shared" si="68"/>
        <v>1.7439999999999187</v>
      </c>
      <c r="R1781" s="276">
        <v>1.75</v>
      </c>
    </row>
    <row r="1782" spans="17:18">
      <c r="Q1782" s="275">
        <f t="shared" si="68"/>
        <v>1.7449999999999186</v>
      </c>
      <c r="R1782" s="276">
        <v>1.75</v>
      </c>
    </row>
    <row r="1783" spans="17:18">
      <c r="Q1783" s="275">
        <f t="shared" si="68"/>
        <v>1.7459999999999185</v>
      </c>
      <c r="R1783" s="276">
        <v>1.75</v>
      </c>
    </row>
    <row r="1784" spans="17:18">
      <c r="Q1784" s="275">
        <f t="shared" si="68"/>
        <v>1.7469999999999184</v>
      </c>
      <c r="R1784" s="276">
        <v>1.75</v>
      </c>
    </row>
    <row r="1785" spans="17:18">
      <c r="Q1785" s="275">
        <f t="shared" si="68"/>
        <v>1.7479999999999183</v>
      </c>
      <c r="R1785" s="276">
        <v>1.75</v>
      </c>
    </row>
    <row r="1786" spans="17:18">
      <c r="Q1786" s="275">
        <f t="shared" si="68"/>
        <v>1.7489999999999182</v>
      </c>
      <c r="R1786" s="276">
        <v>1.75</v>
      </c>
    </row>
    <row r="1787" spans="17:18">
      <c r="Q1787" s="275">
        <f t="shared" si="68"/>
        <v>1.7499999999999181</v>
      </c>
      <c r="R1787" s="276">
        <v>1.75</v>
      </c>
    </row>
    <row r="1788" spans="17:18">
      <c r="Q1788" s="275">
        <f t="shared" si="68"/>
        <v>1.750999999999918</v>
      </c>
      <c r="R1788" s="276">
        <v>2</v>
      </c>
    </row>
    <row r="1789" spans="17:18">
      <c r="Q1789" s="275">
        <f t="shared" si="68"/>
        <v>1.7519999999999178</v>
      </c>
      <c r="R1789" s="276">
        <v>2</v>
      </c>
    </row>
    <row r="1790" spans="17:18">
      <c r="Q1790" s="275">
        <f t="shared" si="68"/>
        <v>1.7529999999999177</v>
      </c>
      <c r="R1790" s="276">
        <v>2</v>
      </c>
    </row>
    <row r="1791" spans="17:18">
      <c r="Q1791" s="275">
        <f t="shared" si="68"/>
        <v>1.7539999999999176</v>
      </c>
      <c r="R1791" s="276">
        <v>2</v>
      </c>
    </row>
    <row r="1792" spans="17:18">
      <c r="Q1792" s="275">
        <f t="shared" si="68"/>
        <v>1.7549999999999175</v>
      </c>
      <c r="R1792" s="276">
        <v>2</v>
      </c>
    </row>
    <row r="1793" spans="17:18">
      <c r="Q1793" s="275">
        <f t="shared" si="68"/>
        <v>1.7559999999999174</v>
      </c>
      <c r="R1793" s="276">
        <v>2</v>
      </c>
    </row>
    <row r="1794" spans="17:18">
      <c r="Q1794" s="275">
        <f t="shared" si="68"/>
        <v>1.7569999999999173</v>
      </c>
      <c r="R1794" s="276">
        <v>2</v>
      </c>
    </row>
    <row r="1795" spans="17:18">
      <c r="Q1795" s="275">
        <f t="shared" si="68"/>
        <v>1.7579999999999172</v>
      </c>
      <c r="R1795" s="276">
        <v>2</v>
      </c>
    </row>
    <row r="1796" spans="17:18">
      <c r="Q1796" s="275">
        <f t="shared" si="68"/>
        <v>1.7589999999999171</v>
      </c>
      <c r="R1796" s="276">
        <v>2</v>
      </c>
    </row>
    <row r="1797" spans="17:18">
      <c r="Q1797" s="275">
        <f t="shared" si="68"/>
        <v>1.759999999999917</v>
      </c>
      <c r="R1797" s="276">
        <v>2</v>
      </c>
    </row>
    <row r="1798" spans="17:18">
      <c r="Q1798" s="275">
        <f t="shared" si="68"/>
        <v>1.7609999999999169</v>
      </c>
      <c r="R1798" s="276">
        <v>2</v>
      </c>
    </row>
    <row r="1799" spans="17:18">
      <c r="Q1799" s="275">
        <f t="shared" si="68"/>
        <v>1.7619999999999167</v>
      </c>
      <c r="R1799" s="276">
        <v>2</v>
      </c>
    </row>
    <row r="1800" spans="17:18">
      <c r="Q1800" s="275">
        <f t="shared" si="68"/>
        <v>1.7629999999999166</v>
      </c>
      <c r="R1800" s="276">
        <v>2</v>
      </c>
    </row>
    <row r="1801" spans="17:18">
      <c r="Q1801" s="275">
        <f t="shared" si="68"/>
        <v>1.7639999999999165</v>
      </c>
      <c r="R1801" s="276">
        <v>2</v>
      </c>
    </row>
    <row r="1802" spans="17:18">
      <c r="Q1802" s="275">
        <f t="shared" si="68"/>
        <v>1.7649999999999164</v>
      </c>
      <c r="R1802" s="276">
        <v>2</v>
      </c>
    </row>
    <row r="1803" spans="17:18">
      <c r="Q1803" s="275">
        <f t="shared" si="68"/>
        <v>1.7659999999999163</v>
      </c>
      <c r="R1803" s="276">
        <v>2</v>
      </c>
    </row>
    <row r="1804" spans="17:18">
      <c r="Q1804" s="275">
        <f t="shared" si="68"/>
        <v>1.7669999999999162</v>
      </c>
      <c r="R1804" s="276">
        <v>2</v>
      </c>
    </row>
    <row r="1805" spans="17:18">
      <c r="Q1805" s="275">
        <f t="shared" si="68"/>
        <v>1.7679999999999161</v>
      </c>
      <c r="R1805" s="276">
        <v>2</v>
      </c>
    </row>
    <row r="1806" spans="17:18">
      <c r="Q1806" s="275">
        <f t="shared" si="68"/>
        <v>1.768999999999916</v>
      </c>
      <c r="R1806" s="276">
        <v>2</v>
      </c>
    </row>
    <row r="1807" spans="17:18">
      <c r="Q1807" s="275">
        <f t="shared" si="68"/>
        <v>1.7699999999999159</v>
      </c>
      <c r="R1807" s="276">
        <v>2</v>
      </c>
    </row>
    <row r="1808" spans="17:18">
      <c r="Q1808" s="275">
        <f t="shared" si="68"/>
        <v>1.7709999999999158</v>
      </c>
      <c r="R1808" s="276">
        <v>2</v>
      </c>
    </row>
    <row r="1809" spans="17:18">
      <c r="Q1809" s="275">
        <f t="shared" si="68"/>
        <v>1.7719999999999156</v>
      </c>
      <c r="R1809" s="276">
        <v>2</v>
      </c>
    </row>
    <row r="1810" spans="17:18">
      <c r="Q1810" s="275">
        <f t="shared" si="68"/>
        <v>1.7729999999999155</v>
      </c>
      <c r="R1810" s="276">
        <v>2</v>
      </c>
    </row>
    <row r="1811" spans="17:18">
      <c r="Q1811" s="275">
        <f t="shared" si="68"/>
        <v>1.7739999999999154</v>
      </c>
      <c r="R1811" s="276">
        <v>2</v>
      </c>
    </row>
    <row r="1812" spans="17:18">
      <c r="Q1812" s="275">
        <f t="shared" si="68"/>
        <v>1.7749999999999153</v>
      </c>
      <c r="R1812" s="276">
        <v>2</v>
      </c>
    </row>
    <row r="1813" spans="17:18">
      <c r="Q1813" s="275">
        <f t="shared" si="68"/>
        <v>1.7759999999999152</v>
      </c>
      <c r="R1813" s="276">
        <v>2</v>
      </c>
    </row>
    <row r="1814" spans="17:18">
      <c r="Q1814" s="275">
        <f t="shared" si="68"/>
        <v>1.7769999999999151</v>
      </c>
      <c r="R1814" s="276">
        <v>2</v>
      </c>
    </row>
    <row r="1815" spans="17:18">
      <c r="Q1815" s="275">
        <f t="shared" si="68"/>
        <v>1.777999999999915</v>
      </c>
      <c r="R1815" s="276">
        <v>2</v>
      </c>
    </row>
    <row r="1816" spans="17:18">
      <c r="Q1816" s="275">
        <f t="shared" si="68"/>
        <v>1.7789999999999149</v>
      </c>
      <c r="R1816" s="276">
        <v>2</v>
      </c>
    </row>
    <row r="1817" spans="17:18">
      <c r="Q1817" s="275">
        <f t="shared" si="68"/>
        <v>1.7799999999999148</v>
      </c>
      <c r="R1817" s="276">
        <v>2</v>
      </c>
    </row>
    <row r="1818" spans="17:18">
      <c r="Q1818" s="275">
        <f t="shared" si="68"/>
        <v>1.7809999999999147</v>
      </c>
      <c r="R1818" s="276">
        <v>2</v>
      </c>
    </row>
    <row r="1819" spans="17:18">
      <c r="Q1819" s="275">
        <f t="shared" si="68"/>
        <v>1.7819999999999145</v>
      </c>
      <c r="R1819" s="276">
        <v>2</v>
      </c>
    </row>
    <row r="1820" spans="17:18">
      <c r="Q1820" s="275">
        <f t="shared" si="68"/>
        <v>1.7829999999999144</v>
      </c>
      <c r="R1820" s="276">
        <v>2</v>
      </c>
    </row>
    <row r="1821" spans="17:18">
      <c r="Q1821" s="275">
        <f t="shared" si="68"/>
        <v>1.7839999999999143</v>
      </c>
      <c r="R1821" s="276">
        <v>2</v>
      </c>
    </row>
    <row r="1822" spans="17:18">
      <c r="Q1822" s="275">
        <f t="shared" si="68"/>
        <v>1.7849999999999142</v>
      </c>
      <c r="R1822" s="276">
        <v>2</v>
      </c>
    </row>
    <row r="1823" spans="17:18">
      <c r="Q1823" s="275">
        <f t="shared" si="68"/>
        <v>1.7859999999999141</v>
      </c>
      <c r="R1823" s="276">
        <v>2</v>
      </c>
    </row>
    <row r="1824" spans="17:18">
      <c r="Q1824" s="275">
        <f t="shared" si="68"/>
        <v>1.786999999999914</v>
      </c>
      <c r="R1824" s="276">
        <v>2</v>
      </c>
    </row>
    <row r="1825" spans="17:18">
      <c r="Q1825" s="275">
        <f t="shared" si="68"/>
        <v>1.7879999999999139</v>
      </c>
      <c r="R1825" s="276">
        <v>2</v>
      </c>
    </row>
    <row r="1826" spans="17:18">
      <c r="Q1826" s="275">
        <f t="shared" si="68"/>
        <v>1.7889999999999138</v>
      </c>
      <c r="R1826" s="276">
        <v>2</v>
      </c>
    </row>
    <row r="1827" spans="17:18">
      <c r="Q1827" s="275">
        <f t="shared" si="68"/>
        <v>1.7899999999999137</v>
      </c>
      <c r="R1827" s="276">
        <v>2</v>
      </c>
    </row>
    <row r="1828" spans="17:18">
      <c r="Q1828" s="275">
        <f t="shared" si="68"/>
        <v>1.7909999999999136</v>
      </c>
      <c r="R1828" s="276">
        <v>2</v>
      </c>
    </row>
    <row r="1829" spans="17:18">
      <c r="Q1829" s="275">
        <f t="shared" si="68"/>
        <v>1.7919999999999134</v>
      </c>
      <c r="R1829" s="276">
        <v>2</v>
      </c>
    </row>
    <row r="1830" spans="17:18">
      <c r="Q1830" s="275">
        <f t="shared" si="68"/>
        <v>1.7929999999999133</v>
      </c>
      <c r="R1830" s="276">
        <v>2</v>
      </c>
    </row>
    <row r="1831" spans="17:18">
      <c r="Q1831" s="275">
        <f t="shared" ref="Q1831:Q1894" si="69">Q1830+0.001</f>
        <v>1.7939999999999132</v>
      </c>
      <c r="R1831" s="276">
        <v>2</v>
      </c>
    </row>
    <row r="1832" spans="17:18">
      <c r="Q1832" s="275">
        <f t="shared" si="69"/>
        <v>1.7949999999999131</v>
      </c>
      <c r="R1832" s="276">
        <v>2</v>
      </c>
    </row>
    <row r="1833" spans="17:18">
      <c r="Q1833" s="275">
        <f t="shared" si="69"/>
        <v>1.795999999999913</v>
      </c>
      <c r="R1833" s="276">
        <v>2</v>
      </c>
    </row>
    <row r="1834" spans="17:18">
      <c r="Q1834" s="275">
        <f t="shared" si="69"/>
        <v>1.7969999999999129</v>
      </c>
      <c r="R1834" s="276">
        <v>2</v>
      </c>
    </row>
    <row r="1835" spans="17:18">
      <c r="Q1835" s="275">
        <f t="shared" si="69"/>
        <v>1.7979999999999128</v>
      </c>
      <c r="R1835" s="276">
        <v>2</v>
      </c>
    </row>
    <row r="1836" spans="17:18">
      <c r="Q1836" s="275">
        <f t="shared" si="69"/>
        <v>1.7989999999999127</v>
      </c>
      <c r="R1836" s="276">
        <v>2</v>
      </c>
    </row>
    <row r="1837" spans="17:18">
      <c r="Q1837" s="275">
        <f t="shared" si="69"/>
        <v>1.7999999999999126</v>
      </c>
      <c r="R1837" s="276">
        <v>2</v>
      </c>
    </row>
    <row r="1838" spans="17:18">
      <c r="Q1838" s="275">
        <f t="shared" si="69"/>
        <v>1.8009999999999124</v>
      </c>
      <c r="R1838" s="276">
        <v>2</v>
      </c>
    </row>
    <row r="1839" spans="17:18">
      <c r="Q1839" s="275">
        <f t="shared" si="69"/>
        <v>1.8019999999999123</v>
      </c>
      <c r="R1839" s="276">
        <v>2</v>
      </c>
    </row>
    <row r="1840" spans="17:18">
      <c r="Q1840" s="275">
        <f t="shared" si="69"/>
        <v>1.8029999999999122</v>
      </c>
      <c r="R1840" s="276">
        <v>2</v>
      </c>
    </row>
    <row r="1841" spans="17:18">
      <c r="Q1841" s="275">
        <f t="shared" si="69"/>
        <v>1.8039999999999121</v>
      </c>
      <c r="R1841" s="276">
        <v>2</v>
      </c>
    </row>
    <row r="1842" spans="17:18">
      <c r="Q1842" s="275">
        <f t="shared" si="69"/>
        <v>1.804999999999912</v>
      </c>
      <c r="R1842" s="276">
        <v>2</v>
      </c>
    </row>
    <row r="1843" spans="17:18">
      <c r="Q1843" s="275">
        <f t="shared" si="69"/>
        <v>1.8059999999999119</v>
      </c>
      <c r="R1843" s="276">
        <v>2</v>
      </c>
    </row>
    <row r="1844" spans="17:18">
      <c r="Q1844" s="275">
        <f t="shared" si="69"/>
        <v>1.8069999999999118</v>
      </c>
      <c r="R1844" s="276">
        <v>2</v>
      </c>
    </row>
    <row r="1845" spans="17:18">
      <c r="Q1845" s="275">
        <f t="shared" si="69"/>
        <v>1.8079999999999117</v>
      </c>
      <c r="R1845" s="276">
        <v>2</v>
      </c>
    </row>
    <row r="1846" spans="17:18">
      <c r="Q1846" s="275">
        <f t="shared" si="69"/>
        <v>1.8089999999999116</v>
      </c>
      <c r="R1846" s="276">
        <v>2</v>
      </c>
    </row>
    <row r="1847" spans="17:18">
      <c r="Q1847" s="275">
        <f t="shared" si="69"/>
        <v>1.8099999999999115</v>
      </c>
      <c r="R1847" s="276">
        <v>2</v>
      </c>
    </row>
    <row r="1848" spans="17:18">
      <c r="Q1848" s="275">
        <f t="shared" si="69"/>
        <v>1.8109999999999113</v>
      </c>
      <c r="R1848" s="276">
        <v>2</v>
      </c>
    </row>
    <row r="1849" spans="17:18">
      <c r="Q1849" s="275">
        <f t="shared" si="69"/>
        <v>1.8119999999999112</v>
      </c>
      <c r="R1849" s="276">
        <v>2</v>
      </c>
    </row>
    <row r="1850" spans="17:18">
      <c r="Q1850" s="275">
        <f t="shared" si="69"/>
        <v>1.8129999999999111</v>
      </c>
      <c r="R1850" s="276">
        <v>2</v>
      </c>
    </row>
    <row r="1851" spans="17:18">
      <c r="Q1851" s="275">
        <f t="shared" si="69"/>
        <v>1.813999999999911</v>
      </c>
      <c r="R1851" s="276">
        <v>2</v>
      </c>
    </row>
    <row r="1852" spans="17:18">
      <c r="Q1852" s="275">
        <f t="shared" si="69"/>
        <v>1.8149999999999109</v>
      </c>
      <c r="R1852" s="276">
        <v>2</v>
      </c>
    </row>
    <row r="1853" spans="17:18">
      <c r="Q1853" s="275">
        <f t="shared" si="69"/>
        <v>1.8159999999999108</v>
      </c>
      <c r="R1853" s="276">
        <v>2</v>
      </c>
    </row>
    <row r="1854" spans="17:18">
      <c r="Q1854" s="275">
        <f t="shared" si="69"/>
        <v>1.8169999999999107</v>
      </c>
      <c r="R1854" s="276">
        <v>2</v>
      </c>
    </row>
    <row r="1855" spans="17:18">
      <c r="Q1855" s="275">
        <f t="shared" si="69"/>
        <v>1.8179999999999106</v>
      </c>
      <c r="R1855" s="276">
        <v>2</v>
      </c>
    </row>
    <row r="1856" spans="17:18">
      <c r="Q1856" s="275">
        <f t="shared" si="69"/>
        <v>1.8189999999999105</v>
      </c>
      <c r="R1856" s="276">
        <v>2</v>
      </c>
    </row>
    <row r="1857" spans="17:18">
      <c r="Q1857" s="275">
        <f t="shared" si="69"/>
        <v>1.8199999999999104</v>
      </c>
      <c r="R1857" s="276">
        <v>2</v>
      </c>
    </row>
    <row r="1858" spans="17:18">
      <c r="Q1858" s="275">
        <f t="shared" si="69"/>
        <v>1.8209999999999102</v>
      </c>
      <c r="R1858" s="276">
        <v>2</v>
      </c>
    </row>
    <row r="1859" spans="17:18">
      <c r="Q1859" s="275">
        <f t="shared" si="69"/>
        <v>1.8219999999999101</v>
      </c>
      <c r="R1859" s="276">
        <v>2</v>
      </c>
    </row>
    <row r="1860" spans="17:18">
      <c r="Q1860" s="275">
        <f t="shared" si="69"/>
        <v>1.82299999999991</v>
      </c>
      <c r="R1860" s="276">
        <v>2</v>
      </c>
    </row>
    <row r="1861" spans="17:18">
      <c r="Q1861" s="275">
        <f t="shared" si="69"/>
        <v>1.8239999999999099</v>
      </c>
      <c r="R1861" s="276">
        <v>2</v>
      </c>
    </row>
    <row r="1862" spans="17:18">
      <c r="Q1862" s="275">
        <f t="shared" si="69"/>
        <v>1.8249999999999098</v>
      </c>
      <c r="R1862" s="276">
        <v>2</v>
      </c>
    </row>
    <row r="1863" spans="17:18">
      <c r="Q1863" s="275">
        <f t="shared" si="69"/>
        <v>1.8259999999999097</v>
      </c>
      <c r="R1863" s="276">
        <v>2</v>
      </c>
    </row>
    <row r="1864" spans="17:18">
      <c r="Q1864" s="275">
        <f t="shared" si="69"/>
        <v>1.8269999999999096</v>
      </c>
      <c r="R1864" s="276">
        <v>2</v>
      </c>
    </row>
    <row r="1865" spans="17:18">
      <c r="Q1865" s="275">
        <f t="shared" si="69"/>
        <v>1.8279999999999095</v>
      </c>
      <c r="R1865" s="276">
        <v>2</v>
      </c>
    </row>
    <row r="1866" spans="17:18">
      <c r="Q1866" s="275">
        <f t="shared" si="69"/>
        <v>1.8289999999999094</v>
      </c>
      <c r="R1866" s="276">
        <v>2</v>
      </c>
    </row>
    <row r="1867" spans="17:18">
      <c r="Q1867" s="275">
        <f t="shared" si="69"/>
        <v>1.8299999999999093</v>
      </c>
      <c r="R1867" s="276">
        <v>2</v>
      </c>
    </row>
    <row r="1868" spans="17:18">
      <c r="Q1868" s="275">
        <f t="shared" si="69"/>
        <v>1.8309999999999091</v>
      </c>
      <c r="R1868" s="276">
        <v>2</v>
      </c>
    </row>
    <row r="1869" spans="17:18">
      <c r="Q1869" s="275">
        <f t="shared" si="69"/>
        <v>1.831999999999909</v>
      </c>
      <c r="R1869" s="276">
        <v>2</v>
      </c>
    </row>
    <row r="1870" spans="17:18">
      <c r="Q1870" s="275">
        <f t="shared" si="69"/>
        <v>1.8329999999999089</v>
      </c>
      <c r="R1870" s="276">
        <v>2</v>
      </c>
    </row>
    <row r="1871" spans="17:18">
      <c r="Q1871" s="275">
        <f t="shared" si="69"/>
        <v>1.8339999999999088</v>
      </c>
      <c r="R1871" s="276">
        <v>2</v>
      </c>
    </row>
    <row r="1872" spans="17:18">
      <c r="Q1872" s="275">
        <f t="shared" si="69"/>
        <v>1.8349999999999087</v>
      </c>
      <c r="R1872" s="276">
        <v>2</v>
      </c>
    </row>
    <row r="1873" spans="17:18">
      <c r="Q1873" s="275">
        <f t="shared" si="69"/>
        <v>1.8359999999999086</v>
      </c>
      <c r="R1873" s="276">
        <v>2</v>
      </c>
    </row>
    <row r="1874" spans="17:18">
      <c r="Q1874" s="275">
        <f t="shared" si="69"/>
        <v>1.8369999999999085</v>
      </c>
      <c r="R1874" s="276">
        <v>2</v>
      </c>
    </row>
    <row r="1875" spans="17:18">
      <c r="Q1875" s="275">
        <f t="shared" si="69"/>
        <v>1.8379999999999084</v>
      </c>
      <c r="R1875" s="276">
        <v>2</v>
      </c>
    </row>
    <row r="1876" spans="17:18">
      <c r="Q1876" s="275">
        <f t="shared" si="69"/>
        <v>1.8389999999999083</v>
      </c>
      <c r="R1876" s="276">
        <v>2</v>
      </c>
    </row>
    <row r="1877" spans="17:18">
      <c r="Q1877" s="275">
        <f t="shared" si="69"/>
        <v>1.8399999999999082</v>
      </c>
      <c r="R1877" s="276">
        <v>2</v>
      </c>
    </row>
    <row r="1878" spans="17:18">
      <c r="Q1878" s="275">
        <f t="shared" si="69"/>
        <v>1.840999999999908</v>
      </c>
      <c r="R1878" s="276">
        <v>2</v>
      </c>
    </row>
    <row r="1879" spans="17:18">
      <c r="Q1879" s="275">
        <f t="shared" si="69"/>
        <v>1.8419999999999079</v>
      </c>
      <c r="R1879" s="276">
        <v>2</v>
      </c>
    </row>
    <row r="1880" spans="17:18">
      <c r="Q1880" s="275">
        <f t="shared" si="69"/>
        <v>1.8429999999999078</v>
      </c>
      <c r="R1880" s="276">
        <v>2</v>
      </c>
    </row>
    <row r="1881" spans="17:18">
      <c r="Q1881" s="275">
        <f t="shared" si="69"/>
        <v>1.8439999999999077</v>
      </c>
      <c r="R1881" s="276">
        <v>2</v>
      </c>
    </row>
    <row r="1882" spans="17:18">
      <c r="Q1882" s="275">
        <f t="shared" si="69"/>
        <v>1.8449999999999076</v>
      </c>
      <c r="R1882" s="276">
        <v>2</v>
      </c>
    </row>
    <row r="1883" spans="17:18">
      <c r="Q1883" s="275">
        <f t="shared" si="69"/>
        <v>1.8459999999999075</v>
      </c>
      <c r="R1883" s="276">
        <v>2</v>
      </c>
    </row>
    <row r="1884" spans="17:18">
      <c r="Q1884" s="275">
        <f t="shared" si="69"/>
        <v>1.8469999999999074</v>
      </c>
      <c r="R1884" s="276">
        <v>2</v>
      </c>
    </row>
    <row r="1885" spans="17:18">
      <c r="Q1885" s="275">
        <f t="shared" si="69"/>
        <v>1.8479999999999073</v>
      </c>
      <c r="R1885" s="276">
        <v>2</v>
      </c>
    </row>
    <row r="1886" spans="17:18">
      <c r="Q1886" s="275">
        <f t="shared" si="69"/>
        <v>1.8489999999999072</v>
      </c>
      <c r="R1886" s="276">
        <v>2</v>
      </c>
    </row>
    <row r="1887" spans="17:18">
      <c r="Q1887" s="275">
        <f t="shared" si="69"/>
        <v>1.8499999999999071</v>
      </c>
      <c r="R1887" s="276">
        <v>2</v>
      </c>
    </row>
    <row r="1888" spans="17:18">
      <c r="Q1888" s="275">
        <f t="shared" si="69"/>
        <v>1.8509999999999069</v>
      </c>
      <c r="R1888" s="276">
        <v>2</v>
      </c>
    </row>
    <row r="1889" spans="17:18">
      <c r="Q1889" s="275">
        <f t="shared" si="69"/>
        <v>1.8519999999999068</v>
      </c>
      <c r="R1889" s="276">
        <v>2</v>
      </c>
    </row>
    <row r="1890" spans="17:18">
      <c r="Q1890" s="275">
        <f t="shared" si="69"/>
        <v>1.8529999999999067</v>
      </c>
      <c r="R1890" s="276">
        <v>2</v>
      </c>
    </row>
    <row r="1891" spans="17:18">
      <c r="Q1891" s="275">
        <f t="shared" si="69"/>
        <v>1.8539999999999066</v>
      </c>
      <c r="R1891" s="276">
        <v>2</v>
      </c>
    </row>
    <row r="1892" spans="17:18">
      <c r="Q1892" s="275">
        <f t="shared" si="69"/>
        <v>1.8549999999999065</v>
      </c>
      <c r="R1892" s="276">
        <v>2</v>
      </c>
    </row>
    <row r="1893" spans="17:18">
      <c r="Q1893" s="275">
        <f t="shared" si="69"/>
        <v>1.8559999999999064</v>
      </c>
      <c r="R1893" s="276">
        <v>2</v>
      </c>
    </row>
    <row r="1894" spans="17:18">
      <c r="Q1894" s="275">
        <f t="shared" si="69"/>
        <v>1.8569999999999063</v>
      </c>
      <c r="R1894" s="276">
        <v>2</v>
      </c>
    </row>
    <row r="1895" spans="17:18">
      <c r="Q1895" s="275">
        <f t="shared" ref="Q1895:Q1958" si="70">Q1894+0.001</f>
        <v>1.8579999999999062</v>
      </c>
      <c r="R1895" s="276">
        <v>2</v>
      </c>
    </row>
    <row r="1896" spans="17:18">
      <c r="Q1896" s="275">
        <f t="shared" si="70"/>
        <v>1.8589999999999061</v>
      </c>
      <c r="R1896" s="276">
        <v>2</v>
      </c>
    </row>
    <row r="1897" spans="17:18">
      <c r="Q1897" s="275">
        <f t="shared" si="70"/>
        <v>1.859999999999906</v>
      </c>
      <c r="R1897" s="276">
        <v>2</v>
      </c>
    </row>
    <row r="1898" spans="17:18">
      <c r="Q1898" s="275">
        <f t="shared" si="70"/>
        <v>1.8609999999999058</v>
      </c>
      <c r="R1898" s="276">
        <v>2</v>
      </c>
    </row>
    <row r="1899" spans="17:18">
      <c r="Q1899" s="275">
        <f t="shared" si="70"/>
        <v>1.8619999999999057</v>
      </c>
      <c r="R1899" s="276">
        <v>2</v>
      </c>
    </row>
    <row r="1900" spans="17:18">
      <c r="Q1900" s="275">
        <f t="shared" si="70"/>
        <v>1.8629999999999056</v>
      </c>
      <c r="R1900" s="276">
        <v>2</v>
      </c>
    </row>
    <row r="1901" spans="17:18">
      <c r="Q1901" s="275">
        <f t="shared" si="70"/>
        <v>1.8639999999999055</v>
      </c>
      <c r="R1901" s="276">
        <v>2</v>
      </c>
    </row>
    <row r="1902" spans="17:18">
      <c r="Q1902" s="275">
        <f t="shared" si="70"/>
        <v>1.8649999999999054</v>
      </c>
      <c r="R1902" s="276">
        <v>2</v>
      </c>
    </row>
    <row r="1903" spans="17:18">
      <c r="Q1903" s="275">
        <f t="shared" si="70"/>
        <v>1.8659999999999053</v>
      </c>
      <c r="R1903" s="276">
        <v>2</v>
      </c>
    </row>
    <row r="1904" spans="17:18">
      <c r="Q1904" s="275">
        <f t="shared" si="70"/>
        <v>1.8669999999999052</v>
      </c>
      <c r="R1904" s="276">
        <v>2</v>
      </c>
    </row>
    <row r="1905" spans="17:18">
      <c r="Q1905" s="275">
        <f t="shared" si="70"/>
        <v>1.8679999999999051</v>
      </c>
      <c r="R1905" s="276">
        <v>2</v>
      </c>
    </row>
    <row r="1906" spans="17:18">
      <c r="Q1906" s="275">
        <f t="shared" si="70"/>
        <v>1.868999999999905</v>
      </c>
      <c r="R1906" s="276">
        <v>2</v>
      </c>
    </row>
    <row r="1907" spans="17:18">
      <c r="Q1907" s="275">
        <f t="shared" si="70"/>
        <v>1.8699999999999048</v>
      </c>
      <c r="R1907" s="276">
        <v>2</v>
      </c>
    </row>
    <row r="1908" spans="17:18">
      <c r="Q1908" s="275">
        <f t="shared" si="70"/>
        <v>1.8709999999999047</v>
      </c>
      <c r="R1908" s="276">
        <v>2</v>
      </c>
    </row>
    <row r="1909" spans="17:18">
      <c r="Q1909" s="275">
        <f t="shared" si="70"/>
        <v>1.8719999999999046</v>
      </c>
      <c r="R1909" s="276">
        <v>2</v>
      </c>
    </row>
    <row r="1910" spans="17:18">
      <c r="Q1910" s="275">
        <f t="shared" si="70"/>
        <v>1.8729999999999045</v>
      </c>
      <c r="R1910" s="276">
        <v>2</v>
      </c>
    </row>
    <row r="1911" spans="17:18">
      <c r="Q1911" s="275">
        <f t="shared" si="70"/>
        <v>1.8739999999999044</v>
      </c>
      <c r="R1911" s="276">
        <v>2</v>
      </c>
    </row>
    <row r="1912" spans="17:18">
      <c r="Q1912" s="275">
        <f t="shared" si="70"/>
        <v>1.8749999999999043</v>
      </c>
      <c r="R1912" s="276">
        <v>2</v>
      </c>
    </row>
    <row r="1913" spans="17:18">
      <c r="Q1913" s="275">
        <f t="shared" si="70"/>
        <v>1.8759999999999042</v>
      </c>
      <c r="R1913" s="276">
        <v>2</v>
      </c>
    </row>
    <row r="1914" spans="17:18">
      <c r="Q1914" s="275">
        <f t="shared" si="70"/>
        <v>1.8769999999999041</v>
      </c>
      <c r="R1914" s="276">
        <v>2</v>
      </c>
    </row>
    <row r="1915" spans="17:18">
      <c r="Q1915" s="275">
        <f t="shared" si="70"/>
        <v>1.877999999999904</v>
      </c>
      <c r="R1915" s="276">
        <v>2</v>
      </c>
    </row>
    <row r="1916" spans="17:18">
      <c r="Q1916" s="275">
        <f t="shared" si="70"/>
        <v>1.8789999999999039</v>
      </c>
      <c r="R1916" s="276">
        <v>2</v>
      </c>
    </row>
    <row r="1917" spans="17:18">
      <c r="Q1917" s="275">
        <f t="shared" si="70"/>
        <v>1.8799999999999037</v>
      </c>
      <c r="R1917" s="276">
        <v>2</v>
      </c>
    </row>
    <row r="1918" spans="17:18">
      <c r="Q1918" s="275">
        <f t="shared" si="70"/>
        <v>1.8809999999999036</v>
      </c>
      <c r="R1918" s="276">
        <v>2</v>
      </c>
    </row>
    <row r="1919" spans="17:18">
      <c r="Q1919" s="275">
        <f t="shared" si="70"/>
        <v>1.8819999999999035</v>
      </c>
      <c r="R1919" s="276">
        <v>2</v>
      </c>
    </row>
    <row r="1920" spans="17:18">
      <c r="Q1920" s="275">
        <f t="shared" si="70"/>
        <v>1.8829999999999034</v>
      </c>
      <c r="R1920" s="276">
        <v>2</v>
      </c>
    </row>
    <row r="1921" spans="17:18">
      <c r="Q1921" s="275">
        <f t="shared" si="70"/>
        <v>1.8839999999999033</v>
      </c>
      <c r="R1921" s="276">
        <v>2</v>
      </c>
    </row>
    <row r="1922" spans="17:18">
      <c r="Q1922" s="275">
        <f t="shared" si="70"/>
        <v>1.8849999999999032</v>
      </c>
      <c r="R1922" s="276">
        <v>2</v>
      </c>
    </row>
    <row r="1923" spans="17:18">
      <c r="Q1923" s="275">
        <f t="shared" si="70"/>
        <v>1.8859999999999031</v>
      </c>
      <c r="R1923" s="276">
        <v>2</v>
      </c>
    </row>
    <row r="1924" spans="17:18">
      <c r="Q1924" s="275">
        <f t="shared" si="70"/>
        <v>1.886999999999903</v>
      </c>
      <c r="R1924" s="276">
        <v>2</v>
      </c>
    </row>
    <row r="1925" spans="17:18">
      <c r="Q1925" s="275">
        <f t="shared" si="70"/>
        <v>1.8879999999999029</v>
      </c>
      <c r="R1925" s="276">
        <v>2</v>
      </c>
    </row>
    <row r="1926" spans="17:18">
      <c r="Q1926" s="275">
        <f t="shared" si="70"/>
        <v>1.8889999999999028</v>
      </c>
      <c r="R1926" s="276">
        <v>2</v>
      </c>
    </row>
    <row r="1927" spans="17:18">
      <c r="Q1927" s="275">
        <f t="shared" si="70"/>
        <v>1.8899999999999026</v>
      </c>
      <c r="R1927" s="276">
        <v>2</v>
      </c>
    </row>
    <row r="1928" spans="17:18">
      <c r="Q1928" s="275">
        <f t="shared" si="70"/>
        <v>1.8909999999999025</v>
      </c>
      <c r="R1928" s="276">
        <v>2</v>
      </c>
    </row>
    <row r="1929" spans="17:18">
      <c r="Q1929" s="275">
        <f t="shared" si="70"/>
        <v>1.8919999999999024</v>
      </c>
      <c r="R1929" s="276">
        <v>2</v>
      </c>
    </row>
    <row r="1930" spans="17:18">
      <c r="Q1930" s="275">
        <f t="shared" si="70"/>
        <v>1.8929999999999023</v>
      </c>
      <c r="R1930" s="276">
        <v>2</v>
      </c>
    </row>
    <row r="1931" spans="17:18">
      <c r="Q1931" s="275">
        <f t="shared" si="70"/>
        <v>1.8939999999999022</v>
      </c>
      <c r="R1931" s="276">
        <v>2</v>
      </c>
    </row>
    <row r="1932" spans="17:18">
      <c r="Q1932" s="275">
        <f t="shared" si="70"/>
        <v>1.8949999999999021</v>
      </c>
      <c r="R1932" s="276">
        <v>2</v>
      </c>
    </row>
    <row r="1933" spans="17:18">
      <c r="Q1933" s="275">
        <f t="shared" si="70"/>
        <v>1.895999999999902</v>
      </c>
      <c r="R1933" s="276">
        <v>2</v>
      </c>
    </row>
    <row r="1934" spans="17:18">
      <c r="Q1934" s="275">
        <f t="shared" si="70"/>
        <v>1.8969999999999019</v>
      </c>
      <c r="R1934" s="276">
        <v>2</v>
      </c>
    </row>
    <row r="1935" spans="17:18">
      <c r="Q1935" s="275">
        <f t="shared" si="70"/>
        <v>1.8979999999999018</v>
      </c>
      <c r="R1935" s="276">
        <v>2</v>
      </c>
    </row>
    <row r="1936" spans="17:18">
      <c r="Q1936" s="275">
        <f t="shared" si="70"/>
        <v>1.8989999999999017</v>
      </c>
      <c r="R1936" s="276">
        <v>2</v>
      </c>
    </row>
    <row r="1937" spans="17:18">
      <c r="Q1937" s="275">
        <f t="shared" si="70"/>
        <v>1.8999999999999015</v>
      </c>
      <c r="R1937" s="276">
        <v>2</v>
      </c>
    </row>
    <row r="1938" spans="17:18">
      <c r="Q1938" s="275">
        <f t="shared" si="70"/>
        <v>1.9009999999999014</v>
      </c>
      <c r="R1938" s="276">
        <v>2</v>
      </c>
    </row>
    <row r="1939" spans="17:18">
      <c r="Q1939" s="275">
        <f t="shared" si="70"/>
        <v>1.9019999999999013</v>
      </c>
      <c r="R1939" s="276">
        <v>2</v>
      </c>
    </row>
    <row r="1940" spans="17:18">
      <c r="Q1940" s="275">
        <f t="shared" si="70"/>
        <v>1.9029999999999012</v>
      </c>
      <c r="R1940" s="276">
        <v>2</v>
      </c>
    </row>
    <row r="1941" spans="17:18">
      <c r="Q1941" s="275">
        <f t="shared" si="70"/>
        <v>1.9039999999999011</v>
      </c>
      <c r="R1941" s="276">
        <v>2</v>
      </c>
    </row>
    <row r="1942" spans="17:18">
      <c r="Q1942" s="275">
        <f t="shared" si="70"/>
        <v>1.904999999999901</v>
      </c>
      <c r="R1942" s="276">
        <v>2</v>
      </c>
    </row>
    <row r="1943" spans="17:18">
      <c r="Q1943" s="275">
        <f t="shared" si="70"/>
        <v>1.9059999999999009</v>
      </c>
      <c r="R1943" s="276">
        <v>2</v>
      </c>
    </row>
    <row r="1944" spans="17:18">
      <c r="Q1944" s="275">
        <f t="shared" si="70"/>
        <v>1.9069999999999008</v>
      </c>
      <c r="R1944" s="276">
        <v>2</v>
      </c>
    </row>
    <row r="1945" spans="17:18">
      <c r="Q1945" s="275">
        <f t="shared" si="70"/>
        <v>1.9079999999999007</v>
      </c>
      <c r="R1945" s="276">
        <v>2</v>
      </c>
    </row>
    <row r="1946" spans="17:18">
      <c r="Q1946" s="275">
        <f t="shared" si="70"/>
        <v>1.9089999999999006</v>
      </c>
      <c r="R1946" s="276">
        <v>2</v>
      </c>
    </row>
    <row r="1947" spans="17:18">
      <c r="Q1947" s="275">
        <f t="shared" si="70"/>
        <v>1.9099999999999004</v>
      </c>
      <c r="R1947" s="276">
        <v>2</v>
      </c>
    </row>
    <row r="1948" spans="17:18">
      <c r="Q1948" s="275">
        <f t="shared" si="70"/>
        <v>1.9109999999999003</v>
      </c>
      <c r="R1948" s="276">
        <v>2</v>
      </c>
    </row>
    <row r="1949" spans="17:18">
      <c r="Q1949" s="275">
        <f t="shared" si="70"/>
        <v>1.9119999999999002</v>
      </c>
      <c r="R1949" s="276">
        <v>2</v>
      </c>
    </row>
    <row r="1950" spans="17:18">
      <c r="Q1950" s="275">
        <f t="shared" si="70"/>
        <v>1.9129999999999001</v>
      </c>
      <c r="R1950" s="276">
        <v>2</v>
      </c>
    </row>
    <row r="1951" spans="17:18">
      <c r="Q1951" s="275">
        <f t="shared" si="70"/>
        <v>1.9139999999999</v>
      </c>
      <c r="R1951" s="276">
        <v>2</v>
      </c>
    </row>
    <row r="1952" spans="17:18">
      <c r="Q1952" s="275">
        <f t="shared" si="70"/>
        <v>1.9149999999998999</v>
      </c>
      <c r="R1952" s="276">
        <v>2</v>
      </c>
    </row>
    <row r="1953" spans="17:18">
      <c r="Q1953" s="275">
        <f t="shared" si="70"/>
        <v>1.9159999999998998</v>
      </c>
      <c r="R1953" s="276">
        <v>2</v>
      </c>
    </row>
    <row r="1954" spans="17:18">
      <c r="Q1954" s="275">
        <f t="shared" si="70"/>
        <v>1.9169999999998997</v>
      </c>
      <c r="R1954" s="276">
        <v>2</v>
      </c>
    </row>
    <row r="1955" spans="17:18">
      <c r="Q1955" s="275">
        <f t="shared" si="70"/>
        <v>1.9179999999998996</v>
      </c>
      <c r="R1955" s="276">
        <v>2</v>
      </c>
    </row>
    <row r="1956" spans="17:18">
      <c r="Q1956" s="275">
        <f t="shared" si="70"/>
        <v>1.9189999999998995</v>
      </c>
      <c r="R1956" s="276">
        <v>2</v>
      </c>
    </row>
    <row r="1957" spans="17:18">
      <c r="Q1957" s="275">
        <f t="shared" si="70"/>
        <v>1.9199999999998993</v>
      </c>
      <c r="R1957" s="276">
        <v>2</v>
      </c>
    </row>
    <row r="1958" spans="17:18">
      <c r="Q1958" s="275">
        <f t="shared" si="70"/>
        <v>1.9209999999998992</v>
      </c>
      <c r="R1958" s="276">
        <v>2</v>
      </c>
    </row>
    <row r="1959" spans="17:18">
      <c r="Q1959" s="275">
        <f t="shared" ref="Q1959:Q2022" si="71">Q1958+0.001</f>
        <v>1.9219999999998991</v>
      </c>
      <c r="R1959" s="276">
        <v>2</v>
      </c>
    </row>
    <row r="1960" spans="17:18">
      <c r="Q1960" s="275">
        <f t="shared" si="71"/>
        <v>1.922999999999899</v>
      </c>
      <c r="R1960" s="276">
        <v>2</v>
      </c>
    </row>
    <row r="1961" spans="17:18">
      <c r="Q1961" s="275">
        <f t="shared" si="71"/>
        <v>1.9239999999998989</v>
      </c>
      <c r="R1961" s="276">
        <v>2</v>
      </c>
    </row>
    <row r="1962" spans="17:18">
      <c r="Q1962" s="275">
        <f t="shared" si="71"/>
        <v>1.9249999999998988</v>
      </c>
      <c r="R1962" s="276">
        <v>2</v>
      </c>
    </row>
    <row r="1963" spans="17:18">
      <c r="Q1963" s="275">
        <f t="shared" si="71"/>
        <v>1.9259999999998987</v>
      </c>
      <c r="R1963" s="276">
        <v>2</v>
      </c>
    </row>
    <row r="1964" spans="17:18">
      <c r="Q1964" s="275">
        <f t="shared" si="71"/>
        <v>1.9269999999998986</v>
      </c>
      <c r="R1964" s="276">
        <v>2</v>
      </c>
    </row>
    <row r="1965" spans="17:18">
      <c r="Q1965" s="275">
        <f t="shared" si="71"/>
        <v>1.9279999999998985</v>
      </c>
      <c r="R1965" s="276">
        <v>2</v>
      </c>
    </row>
    <row r="1966" spans="17:18">
      <c r="Q1966" s="275">
        <f t="shared" si="71"/>
        <v>1.9289999999998984</v>
      </c>
      <c r="R1966" s="276">
        <v>2</v>
      </c>
    </row>
    <row r="1967" spans="17:18">
      <c r="Q1967" s="275">
        <f t="shared" si="71"/>
        <v>1.9299999999998982</v>
      </c>
      <c r="R1967" s="276">
        <v>2</v>
      </c>
    </row>
    <row r="1968" spans="17:18">
      <c r="Q1968" s="275">
        <f t="shared" si="71"/>
        <v>1.9309999999998981</v>
      </c>
      <c r="R1968" s="276">
        <v>2</v>
      </c>
    </row>
    <row r="1969" spans="17:18">
      <c r="Q1969" s="275">
        <f t="shared" si="71"/>
        <v>1.931999999999898</v>
      </c>
      <c r="R1969" s="276">
        <v>2</v>
      </c>
    </row>
    <row r="1970" spans="17:18">
      <c r="Q1970" s="275">
        <f t="shared" si="71"/>
        <v>1.9329999999998979</v>
      </c>
      <c r="R1970" s="276">
        <v>2</v>
      </c>
    </row>
    <row r="1971" spans="17:18">
      <c r="Q1971" s="275">
        <f t="shared" si="71"/>
        <v>1.9339999999998978</v>
      </c>
      <c r="R1971" s="276">
        <v>2</v>
      </c>
    </row>
    <row r="1972" spans="17:18">
      <c r="Q1972" s="275">
        <f t="shared" si="71"/>
        <v>1.9349999999998977</v>
      </c>
      <c r="R1972" s="276">
        <v>2</v>
      </c>
    </row>
    <row r="1973" spans="17:18">
      <c r="Q1973" s="275">
        <f t="shared" si="71"/>
        <v>1.9359999999998976</v>
      </c>
      <c r="R1973" s="276">
        <v>2</v>
      </c>
    </row>
    <row r="1974" spans="17:18">
      <c r="Q1974" s="275">
        <f t="shared" si="71"/>
        <v>1.9369999999998975</v>
      </c>
      <c r="R1974" s="276">
        <v>2</v>
      </c>
    </row>
    <row r="1975" spans="17:18">
      <c r="Q1975" s="275">
        <f t="shared" si="71"/>
        <v>1.9379999999998974</v>
      </c>
      <c r="R1975" s="276">
        <v>2</v>
      </c>
    </row>
    <row r="1976" spans="17:18">
      <c r="Q1976" s="275">
        <f t="shared" si="71"/>
        <v>1.9389999999998973</v>
      </c>
      <c r="R1976" s="276">
        <v>2</v>
      </c>
    </row>
    <row r="1977" spans="17:18">
      <c r="Q1977" s="275">
        <f t="shared" si="71"/>
        <v>1.9399999999998971</v>
      </c>
      <c r="R1977" s="276">
        <v>2</v>
      </c>
    </row>
    <row r="1978" spans="17:18">
      <c r="Q1978" s="275">
        <f t="shared" si="71"/>
        <v>1.940999999999897</v>
      </c>
      <c r="R1978" s="276">
        <v>2</v>
      </c>
    </row>
    <row r="1979" spans="17:18">
      <c r="Q1979" s="275">
        <f t="shared" si="71"/>
        <v>1.9419999999998969</v>
      </c>
      <c r="R1979" s="276">
        <v>2</v>
      </c>
    </row>
    <row r="1980" spans="17:18">
      <c r="Q1980" s="275">
        <f t="shared" si="71"/>
        <v>1.9429999999998968</v>
      </c>
      <c r="R1980" s="276">
        <v>2</v>
      </c>
    </row>
    <row r="1981" spans="17:18">
      <c r="Q1981" s="275">
        <f t="shared" si="71"/>
        <v>1.9439999999998967</v>
      </c>
      <c r="R1981" s="276">
        <v>2</v>
      </c>
    </row>
    <row r="1982" spans="17:18">
      <c r="Q1982" s="275">
        <f t="shared" si="71"/>
        <v>1.9449999999998966</v>
      </c>
      <c r="R1982" s="276">
        <v>2</v>
      </c>
    </row>
    <row r="1983" spans="17:18">
      <c r="Q1983" s="275">
        <f t="shared" si="71"/>
        <v>1.9459999999998965</v>
      </c>
      <c r="R1983" s="276">
        <v>2</v>
      </c>
    </row>
    <row r="1984" spans="17:18">
      <c r="Q1984" s="275">
        <f t="shared" si="71"/>
        <v>1.9469999999998964</v>
      </c>
      <c r="R1984" s="276">
        <v>2</v>
      </c>
    </row>
    <row r="1985" spans="17:18">
      <c r="Q1985" s="275">
        <f t="shared" si="71"/>
        <v>1.9479999999998963</v>
      </c>
      <c r="R1985" s="276">
        <v>2</v>
      </c>
    </row>
    <row r="1986" spans="17:18">
      <c r="Q1986" s="275">
        <f t="shared" si="71"/>
        <v>1.9489999999998961</v>
      </c>
      <c r="R1986" s="276">
        <v>2</v>
      </c>
    </row>
    <row r="1987" spans="17:18">
      <c r="Q1987" s="275">
        <f t="shared" si="71"/>
        <v>1.949999999999896</v>
      </c>
      <c r="R1987" s="276">
        <v>2</v>
      </c>
    </row>
    <row r="1988" spans="17:18">
      <c r="Q1988" s="275">
        <f t="shared" si="71"/>
        <v>1.9509999999998959</v>
      </c>
      <c r="R1988" s="276">
        <v>2</v>
      </c>
    </row>
    <row r="1989" spans="17:18">
      <c r="Q1989" s="275">
        <f t="shared" si="71"/>
        <v>1.9519999999998958</v>
      </c>
      <c r="R1989" s="276">
        <v>2</v>
      </c>
    </row>
    <row r="1990" spans="17:18">
      <c r="Q1990" s="275">
        <f t="shared" si="71"/>
        <v>1.9529999999998957</v>
      </c>
      <c r="R1990" s="276">
        <v>2</v>
      </c>
    </row>
    <row r="1991" spans="17:18">
      <c r="Q1991" s="275">
        <f t="shared" si="71"/>
        <v>1.9539999999998956</v>
      </c>
      <c r="R1991" s="276">
        <v>2</v>
      </c>
    </row>
    <row r="1992" spans="17:18">
      <c r="Q1992" s="275">
        <f t="shared" si="71"/>
        <v>1.9549999999998955</v>
      </c>
      <c r="R1992" s="276">
        <v>2</v>
      </c>
    </row>
    <row r="1993" spans="17:18">
      <c r="Q1993" s="275">
        <f t="shared" si="71"/>
        <v>1.9559999999998954</v>
      </c>
      <c r="R1993" s="276">
        <v>2</v>
      </c>
    </row>
    <row r="1994" spans="17:18">
      <c r="Q1994" s="275">
        <f t="shared" si="71"/>
        <v>1.9569999999998953</v>
      </c>
      <c r="R1994" s="276">
        <v>2</v>
      </c>
    </row>
    <row r="1995" spans="17:18">
      <c r="Q1995" s="275">
        <f t="shared" si="71"/>
        <v>1.9579999999998952</v>
      </c>
      <c r="R1995" s="276">
        <v>2</v>
      </c>
    </row>
    <row r="1996" spans="17:18">
      <c r="Q1996" s="275">
        <f t="shared" si="71"/>
        <v>1.958999999999895</v>
      </c>
      <c r="R1996" s="276">
        <v>2</v>
      </c>
    </row>
    <row r="1997" spans="17:18">
      <c r="Q1997" s="275">
        <f t="shared" si="71"/>
        <v>1.9599999999998949</v>
      </c>
      <c r="R1997" s="276">
        <v>2</v>
      </c>
    </row>
    <row r="1998" spans="17:18">
      <c r="Q1998" s="275">
        <f t="shared" si="71"/>
        <v>1.9609999999998948</v>
      </c>
      <c r="R1998" s="276">
        <v>2</v>
      </c>
    </row>
    <row r="1999" spans="17:18">
      <c r="Q1999" s="275">
        <f t="shared" si="71"/>
        <v>1.9619999999998947</v>
      </c>
      <c r="R1999" s="276">
        <v>2</v>
      </c>
    </row>
    <row r="2000" spans="17:18">
      <c r="Q2000" s="275">
        <f t="shared" si="71"/>
        <v>1.9629999999998946</v>
      </c>
      <c r="R2000" s="276">
        <v>2</v>
      </c>
    </row>
    <row r="2001" spans="17:18">
      <c r="Q2001" s="275">
        <f t="shared" si="71"/>
        <v>1.9639999999998945</v>
      </c>
      <c r="R2001" s="276">
        <v>2</v>
      </c>
    </row>
    <row r="2002" spans="17:18">
      <c r="Q2002" s="275">
        <f t="shared" si="71"/>
        <v>1.9649999999998944</v>
      </c>
      <c r="R2002" s="276">
        <v>2</v>
      </c>
    </row>
    <row r="2003" spans="17:18">
      <c r="Q2003" s="275">
        <f t="shared" si="71"/>
        <v>1.9659999999998943</v>
      </c>
      <c r="R2003" s="276">
        <v>2</v>
      </c>
    </row>
    <row r="2004" spans="17:18">
      <c r="Q2004" s="275">
        <f t="shared" si="71"/>
        <v>1.9669999999998942</v>
      </c>
      <c r="R2004" s="276">
        <v>2</v>
      </c>
    </row>
    <row r="2005" spans="17:18">
      <c r="Q2005" s="275">
        <f t="shared" si="71"/>
        <v>1.9679999999998941</v>
      </c>
      <c r="R2005" s="276">
        <v>2</v>
      </c>
    </row>
    <row r="2006" spans="17:18">
      <c r="Q2006" s="275">
        <f t="shared" si="71"/>
        <v>1.9689999999998939</v>
      </c>
      <c r="R2006" s="276">
        <v>2</v>
      </c>
    </row>
    <row r="2007" spans="17:18">
      <c r="Q2007" s="275">
        <f t="shared" si="71"/>
        <v>1.9699999999998938</v>
      </c>
      <c r="R2007" s="276">
        <v>2</v>
      </c>
    </row>
    <row r="2008" spans="17:18">
      <c r="Q2008" s="275">
        <f t="shared" si="71"/>
        <v>1.9709999999998937</v>
      </c>
      <c r="R2008" s="276">
        <v>2</v>
      </c>
    </row>
    <row r="2009" spans="17:18">
      <c r="Q2009" s="275">
        <f t="shared" si="71"/>
        <v>1.9719999999998936</v>
      </c>
      <c r="R2009" s="276">
        <v>2</v>
      </c>
    </row>
    <row r="2010" spans="17:18">
      <c r="Q2010" s="275">
        <f t="shared" si="71"/>
        <v>1.9729999999998935</v>
      </c>
      <c r="R2010" s="276">
        <v>2</v>
      </c>
    </row>
    <row r="2011" spans="17:18">
      <c r="Q2011" s="275">
        <f t="shared" si="71"/>
        <v>1.9739999999998934</v>
      </c>
      <c r="R2011" s="276">
        <v>2</v>
      </c>
    </row>
    <row r="2012" spans="17:18">
      <c r="Q2012" s="275">
        <f t="shared" si="71"/>
        <v>1.9749999999998933</v>
      </c>
      <c r="R2012" s="276">
        <v>2</v>
      </c>
    </row>
    <row r="2013" spans="17:18">
      <c r="Q2013" s="275">
        <f t="shared" si="71"/>
        <v>1.9759999999998932</v>
      </c>
      <c r="R2013" s="276">
        <v>2</v>
      </c>
    </row>
    <row r="2014" spans="17:18">
      <c r="Q2014" s="275">
        <f t="shared" si="71"/>
        <v>1.9769999999998931</v>
      </c>
      <c r="R2014" s="276">
        <v>2</v>
      </c>
    </row>
    <row r="2015" spans="17:18">
      <c r="Q2015" s="275">
        <f t="shared" si="71"/>
        <v>1.977999999999893</v>
      </c>
      <c r="R2015" s="276">
        <v>2</v>
      </c>
    </row>
    <row r="2016" spans="17:18">
      <c r="Q2016" s="275">
        <f t="shared" si="71"/>
        <v>1.9789999999998928</v>
      </c>
      <c r="R2016" s="276">
        <v>2</v>
      </c>
    </row>
    <row r="2017" spans="17:18">
      <c r="Q2017" s="275">
        <f t="shared" si="71"/>
        <v>1.9799999999998927</v>
      </c>
      <c r="R2017" s="276">
        <v>2</v>
      </c>
    </row>
    <row r="2018" spans="17:18">
      <c r="Q2018" s="275">
        <f t="shared" si="71"/>
        <v>1.9809999999998926</v>
      </c>
      <c r="R2018" s="276">
        <v>2</v>
      </c>
    </row>
    <row r="2019" spans="17:18">
      <c r="Q2019" s="275">
        <f t="shared" si="71"/>
        <v>1.9819999999998925</v>
      </c>
      <c r="R2019" s="276">
        <v>2</v>
      </c>
    </row>
    <row r="2020" spans="17:18">
      <c r="Q2020" s="275">
        <f t="shared" si="71"/>
        <v>1.9829999999998924</v>
      </c>
      <c r="R2020" s="276">
        <v>2</v>
      </c>
    </row>
    <row r="2021" spans="17:18">
      <c r="Q2021" s="275">
        <f t="shared" si="71"/>
        <v>1.9839999999998923</v>
      </c>
      <c r="R2021" s="276">
        <v>2</v>
      </c>
    </row>
    <row r="2022" spans="17:18">
      <c r="Q2022" s="275">
        <f t="shared" si="71"/>
        <v>1.9849999999998922</v>
      </c>
      <c r="R2022" s="276">
        <v>2</v>
      </c>
    </row>
    <row r="2023" spans="17:18">
      <c r="Q2023" s="275">
        <f t="shared" ref="Q2023:Q2037" si="72">Q2022+0.001</f>
        <v>1.9859999999998921</v>
      </c>
      <c r="R2023" s="276">
        <v>2</v>
      </c>
    </row>
    <row r="2024" spans="17:18">
      <c r="Q2024" s="275">
        <f t="shared" si="72"/>
        <v>1.986999999999892</v>
      </c>
      <c r="R2024" s="276">
        <v>2</v>
      </c>
    </row>
    <row r="2025" spans="17:18">
      <c r="Q2025" s="275">
        <f t="shared" si="72"/>
        <v>1.9879999999998919</v>
      </c>
      <c r="R2025" s="276">
        <v>2</v>
      </c>
    </row>
    <row r="2026" spans="17:18">
      <c r="Q2026" s="275">
        <f t="shared" si="72"/>
        <v>1.9889999999998917</v>
      </c>
      <c r="R2026" s="276">
        <v>2</v>
      </c>
    </row>
    <row r="2027" spans="17:18">
      <c r="Q2027" s="275">
        <f t="shared" si="72"/>
        <v>1.9899999999998916</v>
      </c>
      <c r="R2027" s="276">
        <v>2</v>
      </c>
    </row>
    <row r="2028" spans="17:18">
      <c r="Q2028" s="275">
        <f t="shared" si="72"/>
        <v>1.9909999999998915</v>
      </c>
      <c r="R2028" s="276">
        <v>2</v>
      </c>
    </row>
    <row r="2029" spans="17:18">
      <c r="Q2029" s="275">
        <f t="shared" si="72"/>
        <v>1.9919999999998914</v>
      </c>
      <c r="R2029" s="276">
        <v>2</v>
      </c>
    </row>
    <row r="2030" spans="17:18">
      <c r="Q2030" s="275">
        <f t="shared" si="72"/>
        <v>1.9929999999998913</v>
      </c>
      <c r="R2030" s="276">
        <v>2</v>
      </c>
    </row>
    <row r="2031" spans="17:18">
      <c r="Q2031" s="275">
        <f t="shared" si="72"/>
        <v>1.9939999999998912</v>
      </c>
      <c r="R2031" s="276">
        <v>2</v>
      </c>
    </row>
    <row r="2032" spans="17:18">
      <c r="Q2032" s="275">
        <f t="shared" si="72"/>
        <v>1.9949999999998911</v>
      </c>
      <c r="R2032" s="276">
        <v>2</v>
      </c>
    </row>
    <row r="2033" spans="17:18">
      <c r="Q2033" s="275">
        <f t="shared" si="72"/>
        <v>1.995999999999891</v>
      </c>
      <c r="R2033" s="276">
        <v>2</v>
      </c>
    </row>
    <row r="2034" spans="17:18">
      <c r="Q2034" s="275">
        <f t="shared" si="72"/>
        <v>1.9969999999998909</v>
      </c>
      <c r="R2034" s="276">
        <v>2</v>
      </c>
    </row>
    <row r="2035" spans="17:18">
      <c r="Q2035" s="275">
        <f t="shared" si="72"/>
        <v>1.9979999999998908</v>
      </c>
      <c r="R2035" s="276">
        <v>2</v>
      </c>
    </row>
    <row r="2036" spans="17:18">
      <c r="Q2036" s="275">
        <f t="shared" si="72"/>
        <v>1.9989999999998906</v>
      </c>
      <c r="R2036" s="276">
        <v>2</v>
      </c>
    </row>
    <row r="2037" spans="17:18">
      <c r="Q2037" s="275">
        <f t="shared" si="72"/>
        <v>1.9999999999998905</v>
      </c>
      <c r="R2037" s="276">
        <v>2</v>
      </c>
    </row>
    <row r="2038" spans="17:18">
      <c r="Q2038" s="214"/>
    </row>
    <row r="2039" spans="17:18">
      <c r="Q2039" s="214"/>
    </row>
    <row r="2040" spans="17:18">
      <c r="Q2040" s="214"/>
    </row>
    <row r="2041" spans="17:18">
      <c r="Q2041" s="214"/>
    </row>
    <row r="2042" spans="17:18">
      <c r="Q2042" s="214"/>
    </row>
    <row r="2043" spans="17:18">
      <c r="Q2043" s="214"/>
    </row>
    <row r="2044" spans="17:18">
      <c r="Q2044" s="214"/>
    </row>
    <row r="2045" spans="17:18">
      <c r="Q2045" s="214"/>
    </row>
    <row r="2046" spans="17:18">
      <c r="Q2046" s="214"/>
    </row>
    <row r="2047" spans="17:18">
      <c r="Q2047" s="214"/>
    </row>
    <row r="2048" spans="17:18">
      <c r="Q2048" s="214"/>
    </row>
    <row r="2049" spans="17:17">
      <c r="Q2049" s="214"/>
    </row>
    <row r="2050" spans="17:17">
      <c r="Q2050" s="214"/>
    </row>
    <row r="2051" spans="17:17">
      <c r="Q2051" s="214"/>
    </row>
    <row r="2052" spans="17:17">
      <c r="Q2052" s="214"/>
    </row>
    <row r="2053" spans="17:17">
      <c r="Q2053" s="214"/>
    </row>
    <row r="2054" spans="17:17">
      <c r="Q2054" s="214"/>
    </row>
    <row r="2055" spans="17:17">
      <c r="Q2055" s="214"/>
    </row>
    <row r="2056" spans="17:17">
      <c r="Q2056" s="214"/>
    </row>
    <row r="2057" spans="17:17">
      <c r="Q2057" s="214"/>
    </row>
    <row r="2058" spans="17:17">
      <c r="Q2058" s="214"/>
    </row>
    <row r="2059" spans="17:17">
      <c r="Q2059" s="214"/>
    </row>
    <row r="2060" spans="17:17">
      <c r="Q2060" s="214"/>
    </row>
    <row r="2061" spans="17:17">
      <c r="Q2061" s="214"/>
    </row>
    <row r="2062" spans="17:17">
      <c r="Q2062" s="214"/>
    </row>
    <row r="2063" spans="17:17">
      <c r="Q2063" s="214"/>
    </row>
    <row r="2064" spans="17:17">
      <c r="Q2064" s="214"/>
    </row>
    <row r="2065" spans="17:17">
      <c r="Q2065" s="214"/>
    </row>
    <row r="2066" spans="17:17">
      <c r="Q2066" s="214"/>
    </row>
    <row r="2067" spans="17:17">
      <c r="Q2067" s="214"/>
    </row>
    <row r="2068" spans="17:17">
      <c r="Q2068" s="214"/>
    </row>
    <row r="2069" spans="17:17">
      <c r="Q2069" s="214"/>
    </row>
    <row r="2070" spans="17:17">
      <c r="Q2070" s="214"/>
    </row>
    <row r="2071" spans="17:17">
      <c r="Q2071" s="214"/>
    </row>
    <row r="2072" spans="17:17">
      <c r="Q2072" s="214"/>
    </row>
    <row r="2073" spans="17:17">
      <c r="Q2073" s="214"/>
    </row>
    <row r="2074" spans="17:17">
      <c r="Q2074" s="214"/>
    </row>
    <row r="2075" spans="17:17">
      <c r="Q2075" s="214"/>
    </row>
    <row r="2076" spans="17:17">
      <c r="Q2076" s="214"/>
    </row>
    <row r="2077" spans="17:17">
      <c r="Q2077" s="214"/>
    </row>
    <row r="2078" spans="17:17">
      <c r="Q2078" s="214"/>
    </row>
    <row r="2079" spans="17:17">
      <c r="Q2079" s="214"/>
    </row>
    <row r="2080" spans="17:17">
      <c r="Q2080" s="214"/>
    </row>
    <row r="2081" spans="17:17">
      <c r="Q2081" s="214"/>
    </row>
    <row r="2082" spans="17:17">
      <c r="Q2082" s="214"/>
    </row>
    <row r="2083" spans="17:17">
      <c r="Q2083" s="214"/>
    </row>
    <row r="2084" spans="17:17">
      <c r="Q2084" s="214"/>
    </row>
    <row r="2085" spans="17:17">
      <c r="Q2085" s="214"/>
    </row>
    <row r="2086" spans="17:17">
      <c r="Q2086" s="214"/>
    </row>
    <row r="2087" spans="17:17">
      <c r="Q2087" s="214"/>
    </row>
    <row r="2088" spans="17:17">
      <c r="Q2088" s="214"/>
    </row>
    <row r="2089" spans="17:17">
      <c r="Q2089" s="214"/>
    </row>
    <row r="2090" spans="17:17">
      <c r="Q2090" s="214"/>
    </row>
    <row r="2091" spans="17:17">
      <c r="Q2091" s="214"/>
    </row>
    <row r="2092" spans="17:17">
      <c r="Q2092" s="214"/>
    </row>
    <row r="2093" spans="17:17">
      <c r="Q2093" s="214"/>
    </row>
    <row r="2094" spans="17:17">
      <c r="Q2094" s="214"/>
    </row>
    <row r="2095" spans="17:17">
      <c r="Q2095" s="214"/>
    </row>
    <row r="2096" spans="17:17">
      <c r="Q2096" s="214"/>
    </row>
    <row r="2097" spans="17:17">
      <c r="Q2097" s="214"/>
    </row>
    <row r="2098" spans="17:17">
      <c r="Q2098" s="214"/>
    </row>
    <row r="2099" spans="17:17">
      <c r="Q2099" s="214"/>
    </row>
    <row r="2100" spans="17:17">
      <c r="Q2100" s="214"/>
    </row>
    <row r="2101" spans="17:17">
      <c r="Q2101" s="214"/>
    </row>
    <row r="2102" spans="17:17">
      <c r="Q2102" s="214"/>
    </row>
    <row r="2103" spans="17:17">
      <c r="Q2103" s="214"/>
    </row>
    <row r="2104" spans="17:17">
      <c r="Q2104" s="214"/>
    </row>
    <row r="2105" spans="17:17">
      <c r="Q2105" s="214"/>
    </row>
    <row r="2106" spans="17:17">
      <c r="Q2106" s="214"/>
    </row>
    <row r="2107" spans="17:17">
      <c r="Q2107" s="214"/>
    </row>
    <row r="2108" spans="17:17">
      <c r="Q2108" s="214"/>
    </row>
    <row r="2109" spans="17:17">
      <c r="Q2109" s="214"/>
    </row>
    <row r="2110" spans="17:17">
      <c r="Q2110" s="214"/>
    </row>
    <row r="2111" spans="17:17">
      <c r="Q2111" s="214"/>
    </row>
    <row r="2112" spans="17:17">
      <c r="Q2112" s="214"/>
    </row>
    <row r="2113" spans="17:17">
      <c r="Q2113" s="214"/>
    </row>
    <row r="2114" spans="17:17">
      <c r="Q2114" s="214"/>
    </row>
    <row r="2115" spans="17:17">
      <c r="Q2115" s="214"/>
    </row>
    <row r="2116" spans="17:17">
      <c r="Q2116" s="214"/>
    </row>
    <row r="2117" spans="17:17">
      <c r="Q2117" s="214"/>
    </row>
    <row r="2118" spans="17:17">
      <c r="Q2118" s="214"/>
    </row>
    <row r="2119" spans="17:17">
      <c r="Q2119" s="214"/>
    </row>
    <row r="2120" spans="17:17">
      <c r="Q2120" s="214"/>
    </row>
    <row r="2121" spans="17:17">
      <c r="Q2121" s="214"/>
    </row>
    <row r="2122" spans="17:17">
      <c r="Q2122" s="214"/>
    </row>
    <row r="2123" spans="17:17">
      <c r="Q2123" s="214"/>
    </row>
    <row r="2124" spans="17:17">
      <c r="Q2124" s="214"/>
    </row>
    <row r="2125" spans="17:17">
      <c r="Q2125" s="214"/>
    </row>
    <row r="2126" spans="17:17">
      <c r="Q2126" s="214"/>
    </row>
    <row r="2127" spans="17:17">
      <c r="Q2127" s="214"/>
    </row>
    <row r="2128" spans="17:17">
      <c r="Q2128" s="214"/>
    </row>
    <row r="2129" spans="17:17">
      <c r="Q2129" s="214"/>
    </row>
    <row r="2130" spans="17:17">
      <c r="Q2130" s="214"/>
    </row>
    <row r="2131" spans="17:17">
      <c r="Q2131" s="214"/>
    </row>
    <row r="2132" spans="17:17">
      <c r="Q2132" s="214"/>
    </row>
    <row r="2133" spans="17:17">
      <c r="Q2133" s="214"/>
    </row>
    <row r="2134" spans="17:17">
      <c r="Q2134" s="214"/>
    </row>
    <row r="2135" spans="17:17">
      <c r="Q2135" s="214"/>
    </row>
    <row r="2136" spans="17:17">
      <c r="Q2136" s="214"/>
    </row>
    <row r="2137" spans="17:17">
      <c r="Q2137" s="214"/>
    </row>
    <row r="2138" spans="17:17">
      <c r="Q2138" s="214"/>
    </row>
    <row r="2139" spans="17:17">
      <c r="Q2139" s="214"/>
    </row>
    <row r="2140" spans="17:17">
      <c r="Q2140" s="214"/>
    </row>
    <row r="2141" spans="17:17">
      <c r="Q2141" s="214"/>
    </row>
    <row r="2142" spans="17:17">
      <c r="Q2142" s="214"/>
    </row>
    <row r="2143" spans="17:17">
      <c r="Q2143" s="214"/>
    </row>
    <row r="2144" spans="17:17">
      <c r="Q2144" s="214"/>
    </row>
    <row r="2145" spans="17:17">
      <c r="Q2145" s="214"/>
    </row>
    <row r="2146" spans="17:17">
      <c r="Q2146" s="214"/>
    </row>
    <row r="2147" spans="17:17">
      <c r="Q2147" s="214"/>
    </row>
    <row r="2148" spans="17:17">
      <c r="Q2148" s="214"/>
    </row>
    <row r="2149" spans="17:17">
      <c r="Q2149" s="214"/>
    </row>
    <row r="2150" spans="17:17">
      <c r="Q2150" s="214"/>
    </row>
    <row r="2151" spans="17:17">
      <c r="Q2151" s="214"/>
    </row>
    <row r="2152" spans="17:17">
      <c r="Q2152" s="214"/>
    </row>
    <row r="2153" spans="17:17">
      <c r="Q2153" s="214"/>
    </row>
    <row r="2154" spans="17:17">
      <c r="Q2154" s="214"/>
    </row>
    <row r="2155" spans="17:17">
      <c r="Q2155" s="214"/>
    </row>
    <row r="2156" spans="17:17">
      <c r="Q2156" s="214"/>
    </row>
    <row r="2157" spans="17:17">
      <c r="Q2157" s="214"/>
    </row>
    <row r="2158" spans="17:17">
      <c r="Q2158" s="214"/>
    </row>
    <row r="2159" spans="17:17">
      <c r="Q2159" s="214"/>
    </row>
    <row r="2160" spans="17:17">
      <c r="Q2160" s="214"/>
    </row>
    <row r="2161" spans="17:17">
      <c r="Q2161" s="214"/>
    </row>
    <row r="2162" spans="17:17">
      <c r="Q2162" s="214"/>
    </row>
    <row r="2163" spans="17:17">
      <c r="Q2163" s="214"/>
    </row>
    <row r="2164" spans="17:17">
      <c r="Q2164" s="214"/>
    </row>
    <row r="2165" spans="17:17">
      <c r="Q2165" s="214"/>
    </row>
    <row r="2166" spans="17:17">
      <c r="Q2166" s="214"/>
    </row>
    <row r="2167" spans="17:17">
      <c r="Q2167" s="214"/>
    </row>
    <row r="2168" spans="17:17">
      <c r="Q2168" s="214"/>
    </row>
    <row r="2169" spans="17:17">
      <c r="Q2169" s="214"/>
    </row>
    <row r="2170" spans="17:17">
      <c r="Q2170" s="214"/>
    </row>
    <row r="2171" spans="17:17">
      <c r="Q2171" s="214"/>
    </row>
    <row r="2172" spans="17:17">
      <c r="Q2172" s="214"/>
    </row>
    <row r="2173" spans="17:17">
      <c r="Q2173" s="214"/>
    </row>
    <row r="2174" spans="17:17">
      <c r="Q2174" s="214"/>
    </row>
    <row r="2175" spans="17:17">
      <c r="Q2175" s="214"/>
    </row>
    <row r="2176" spans="17:17">
      <c r="Q2176" s="214"/>
    </row>
    <row r="2177" spans="17:17">
      <c r="Q2177" s="214"/>
    </row>
    <row r="2178" spans="17:17">
      <c r="Q2178" s="214"/>
    </row>
    <row r="2179" spans="17:17">
      <c r="Q2179" s="214"/>
    </row>
    <row r="2180" spans="17:17">
      <c r="Q2180" s="214"/>
    </row>
    <row r="2181" spans="17:17">
      <c r="Q2181" s="214"/>
    </row>
    <row r="2182" spans="17:17">
      <c r="Q2182" s="214"/>
    </row>
    <row r="2183" spans="17:17">
      <c r="Q2183" s="214"/>
    </row>
    <row r="2184" spans="17:17">
      <c r="Q2184" s="214"/>
    </row>
    <row r="2185" spans="17:17">
      <c r="Q2185" s="214"/>
    </row>
    <row r="2186" spans="17:17">
      <c r="Q2186" s="214"/>
    </row>
    <row r="2187" spans="17:17">
      <c r="Q2187" s="214"/>
    </row>
    <row r="2188" spans="17:17">
      <c r="Q2188" s="214"/>
    </row>
    <row r="2189" spans="17:17">
      <c r="Q2189" s="214"/>
    </row>
    <row r="2190" spans="17:17">
      <c r="Q2190" s="214"/>
    </row>
    <row r="2191" spans="17:17">
      <c r="Q2191" s="214"/>
    </row>
    <row r="2192" spans="17:17">
      <c r="Q2192" s="214"/>
    </row>
    <row r="2193" spans="17:17">
      <c r="Q2193" s="214"/>
    </row>
    <row r="2194" spans="17:17">
      <c r="Q2194" s="214"/>
    </row>
    <row r="2195" spans="17:17">
      <c r="Q2195" s="214"/>
    </row>
    <row r="2196" spans="17:17">
      <c r="Q2196" s="214"/>
    </row>
    <row r="2197" spans="17:17">
      <c r="Q2197" s="214"/>
    </row>
    <row r="2198" spans="17:17">
      <c r="Q2198" s="214"/>
    </row>
    <row r="2199" spans="17:17">
      <c r="Q2199" s="214"/>
    </row>
    <row r="2200" spans="17:17">
      <c r="Q2200" s="214"/>
    </row>
    <row r="2201" spans="17:17">
      <c r="Q2201" s="214"/>
    </row>
    <row r="2202" spans="17:17">
      <c r="Q2202" s="214"/>
    </row>
    <row r="2203" spans="17:17">
      <c r="Q2203" s="214"/>
    </row>
    <row r="2204" spans="17:17">
      <c r="Q2204" s="214"/>
    </row>
    <row r="2205" spans="17:17">
      <c r="Q2205" s="214"/>
    </row>
    <row r="2206" spans="17:17">
      <c r="Q2206" s="214"/>
    </row>
    <row r="2207" spans="17:17">
      <c r="Q2207" s="214"/>
    </row>
    <row r="2208" spans="17:17">
      <c r="Q2208" s="214"/>
    </row>
    <row r="2209" spans="17:17">
      <c r="Q2209" s="214"/>
    </row>
    <row r="2210" spans="17:17">
      <c r="Q2210" s="214"/>
    </row>
    <row r="2211" spans="17:17">
      <c r="Q2211" s="214"/>
    </row>
    <row r="2212" spans="17:17">
      <c r="Q2212" s="214"/>
    </row>
    <row r="2213" spans="17:17">
      <c r="Q2213" s="214"/>
    </row>
    <row r="2214" spans="17:17">
      <c r="Q2214" s="214"/>
    </row>
    <row r="2215" spans="17:17">
      <c r="Q2215" s="214"/>
    </row>
    <row r="2216" spans="17:17">
      <c r="Q2216" s="214"/>
    </row>
    <row r="2217" spans="17:17">
      <c r="Q2217" s="214"/>
    </row>
    <row r="2218" spans="17:17">
      <c r="Q2218" s="214"/>
    </row>
    <row r="2219" spans="17:17">
      <c r="Q2219" s="214"/>
    </row>
    <row r="2220" spans="17:17">
      <c r="Q2220" s="214"/>
    </row>
    <row r="2221" spans="17:17">
      <c r="Q2221" s="214"/>
    </row>
    <row r="2222" spans="17:17">
      <c r="Q2222" s="214"/>
    </row>
    <row r="2223" spans="17:17">
      <c r="Q2223" s="214"/>
    </row>
    <row r="2224" spans="17:17">
      <c r="Q2224" s="214"/>
    </row>
    <row r="2225" spans="17:17">
      <c r="Q2225" s="214"/>
    </row>
    <row r="2226" spans="17:17">
      <c r="Q2226" s="214"/>
    </row>
    <row r="2227" spans="17:17">
      <c r="Q2227" s="214"/>
    </row>
    <row r="2228" spans="17:17">
      <c r="Q2228" s="214"/>
    </row>
    <row r="2229" spans="17:17">
      <c r="Q2229" s="214"/>
    </row>
    <row r="2230" spans="17:17">
      <c r="Q2230" s="214"/>
    </row>
    <row r="2231" spans="17:17">
      <c r="Q2231" s="214"/>
    </row>
    <row r="2232" spans="17:17">
      <c r="Q2232" s="214"/>
    </row>
    <row r="2233" spans="17:17">
      <c r="Q2233" s="214"/>
    </row>
    <row r="2234" spans="17:17">
      <c r="Q2234" s="214"/>
    </row>
  </sheetData>
  <sheetProtection algorithmName="SHA-512" hashValue="mNqEXrNe/AepqWnxWhPn4vpnHWxbaaYf5PkdMGWfKjW/9S0heKV49xzGbIOdcWTaApRY98cz11P6Z9pRU7ZlmQ==" saltValue="xe1XtIJ7Pmi3vPLSX49Sjg==" spinCount="100000" sheet="1" objects="1" scenarios="1"/>
  <mergeCells count="26">
    <mergeCell ref="A1:J1"/>
    <mergeCell ref="K1:N1"/>
    <mergeCell ref="C2:D2"/>
    <mergeCell ref="E2:E5"/>
    <mergeCell ref="A3:A6"/>
    <mergeCell ref="G6:J6"/>
    <mergeCell ref="A7:F7"/>
    <mergeCell ref="A8:B8"/>
    <mergeCell ref="C8:D8"/>
    <mergeCell ref="E8:F8"/>
    <mergeCell ref="C14:F14"/>
    <mergeCell ref="G17:J18"/>
    <mergeCell ref="A20:M20"/>
    <mergeCell ref="A21:A22"/>
    <mergeCell ref="J21:L21"/>
    <mergeCell ref="N21:P21"/>
    <mergeCell ref="B54:C54"/>
    <mergeCell ref="D54:E54"/>
    <mergeCell ref="G54:H54"/>
    <mergeCell ref="I54:J54"/>
    <mergeCell ref="A35:A36"/>
    <mergeCell ref="J35:L35"/>
    <mergeCell ref="A53:B53"/>
    <mergeCell ref="D53:E53"/>
    <mergeCell ref="F53:G53"/>
    <mergeCell ref="I53:J53"/>
  </mergeCells>
  <dataValidations count="3">
    <dataValidation type="list" allowBlank="1" showInputMessage="1" showErrorMessage="1" sqref="C14" xr:uid="{00000000-0002-0000-0B00-000000000000}">
      <formula1>$F$3:$F$5</formula1>
      <formula2>0</formula2>
    </dataValidation>
    <dataValidation type="list" allowBlank="1" showInputMessage="1" showErrorMessage="1" sqref="B52 G52" xr:uid="{00000000-0002-0000-0B00-000001000000}">
      <formula1>$N$2:$N$16</formula1>
      <formula2>0</formula2>
    </dataValidation>
    <dataValidation type="list" allowBlank="1" showInputMessage="1" showErrorMessage="1" sqref="G50" xr:uid="{00000000-0002-0000-0B00-000002000000}">
      <formula1>$N$4:$N$16</formula1>
      <formula2>0</formula2>
    </dataValidation>
  </dataValidations>
  <pageMargins left="0.7" right="0.7" top="0.75" bottom="0.75" header="0.51180555555555496" footer="0.51180555555555496"/>
  <pageSetup firstPageNumber="0" orientation="portrait" horizontalDpi="300" verticalDpi="3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2">
    <tabColor theme="4" tint="-0.249977111117893"/>
  </sheetPr>
  <dimension ref="A1:AMK2234"/>
  <sheetViews>
    <sheetView showGridLines="0" showRowColHeaders="0" topLeftCell="A40" zoomScaleNormal="100" workbookViewId="0">
      <selection activeCell="O42" sqref="O42"/>
    </sheetView>
  </sheetViews>
  <sheetFormatPr baseColWidth="10" defaultColWidth="9.140625" defaultRowHeight="15"/>
  <cols>
    <col min="1" max="1" width="9.42578125" style="159" customWidth="1"/>
    <col min="2" max="2" width="16" style="159" customWidth="1"/>
    <col min="3" max="3" width="16.7109375" style="159" customWidth="1"/>
    <col min="4" max="4" width="11.140625" style="159" customWidth="1"/>
    <col min="5" max="5" width="15.42578125" style="159" customWidth="1"/>
    <col min="6" max="6" width="12.85546875" style="159" customWidth="1"/>
    <col min="7" max="7" width="12.42578125" style="159" customWidth="1"/>
    <col min="8" max="8" width="14.28515625" style="159" customWidth="1"/>
    <col min="9" max="9" width="11.42578125" style="159"/>
    <col min="10" max="10" width="13.42578125" style="159" customWidth="1"/>
    <col min="11" max="11" width="12.85546875" style="159" customWidth="1"/>
    <col min="12" max="12" width="11.28515625" style="159" customWidth="1"/>
    <col min="13" max="13" width="10.28515625" style="159" customWidth="1"/>
    <col min="14" max="14" width="9.7109375" style="159" customWidth="1"/>
    <col min="15" max="15" width="10.42578125" style="159" customWidth="1"/>
    <col min="16" max="16" width="12.28515625" style="159" customWidth="1"/>
    <col min="17" max="18" width="12.85546875" style="159" customWidth="1"/>
    <col min="19" max="19" width="15.42578125" style="159" customWidth="1"/>
    <col min="20" max="1025" width="11.42578125" style="159"/>
  </cols>
  <sheetData>
    <row r="1" spans="1:23" ht="39.75" customHeight="1">
      <c r="A1" s="869" t="s">
        <v>1105</v>
      </c>
      <c r="B1" s="869"/>
      <c r="C1" s="869"/>
      <c r="D1" s="869"/>
      <c r="E1" s="869"/>
      <c r="F1" s="869"/>
      <c r="G1" s="869"/>
      <c r="H1" s="869"/>
      <c r="I1" s="869"/>
      <c r="J1" s="869"/>
      <c r="K1" s="870" t="s">
        <v>1004</v>
      </c>
      <c r="L1" s="870"/>
      <c r="M1" s="870"/>
      <c r="N1" s="870"/>
      <c r="O1" s="160" t="s">
        <v>1005</v>
      </c>
      <c r="P1" s="161" t="s">
        <v>1006</v>
      </c>
      <c r="Q1" s="162"/>
      <c r="R1" s="162"/>
      <c r="S1" s="162"/>
      <c r="T1" s="162"/>
      <c r="U1" s="162"/>
      <c r="V1" s="162"/>
      <c r="W1" s="162"/>
    </row>
    <row r="2" spans="1:23" ht="14.25" customHeight="1">
      <c r="A2" s="163"/>
      <c r="B2" s="164"/>
      <c r="C2" s="871" t="s">
        <v>1007</v>
      </c>
      <c r="D2" s="871"/>
      <c r="E2" s="872" t="s">
        <v>1008</v>
      </c>
      <c r="F2" s="166"/>
      <c r="G2" s="167" t="s">
        <v>1009</v>
      </c>
      <c r="H2" s="167" t="s">
        <v>1010</v>
      </c>
      <c r="I2" s="167" t="s">
        <v>1011</v>
      </c>
      <c r="J2" s="167" t="s">
        <v>1012</v>
      </c>
      <c r="K2" s="341"/>
      <c r="L2" s="341">
        <v>0</v>
      </c>
      <c r="M2" s="341">
        <v>8</v>
      </c>
      <c r="N2" s="342">
        <f t="shared" ref="N2:N11" si="0">L2/M2</f>
        <v>0</v>
      </c>
      <c r="O2" s="343">
        <v>0</v>
      </c>
      <c r="P2" s="344">
        <v>0</v>
      </c>
      <c r="Q2" s="162"/>
      <c r="R2" s="162"/>
      <c r="S2" s="162"/>
      <c r="T2" s="162"/>
      <c r="U2" s="162"/>
      <c r="V2" s="162"/>
      <c r="W2" s="162"/>
    </row>
    <row r="3" spans="1:23">
      <c r="A3" s="873" t="s">
        <v>31</v>
      </c>
      <c r="B3" s="507" t="s">
        <v>1013</v>
      </c>
      <c r="C3" s="173">
        <f>E9^2*3.1416*E10/4</f>
        <v>5850.1173499792922</v>
      </c>
      <c r="D3" s="174" t="s">
        <v>1014</v>
      </c>
      <c r="E3" s="872"/>
      <c r="F3" s="175" t="s">
        <v>1015</v>
      </c>
      <c r="G3" s="176">
        <v>137</v>
      </c>
      <c r="H3" s="176">
        <v>20000</v>
      </c>
      <c r="I3" s="176">
        <v>154</v>
      </c>
      <c r="J3" s="176">
        <v>22500</v>
      </c>
      <c r="K3" s="341"/>
      <c r="L3" s="341">
        <v>3</v>
      </c>
      <c r="M3" s="341">
        <v>16</v>
      </c>
      <c r="N3" s="342">
        <f t="shared" si="0"/>
        <v>0.1875</v>
      </c>
      <c r="O3" s="343">
        <v>415</v>
      </c>
      <c r="P3" s="344">
        <v>555.73</v>
      </c>
      <c r="Q3" s="162"/>
      <c r="R3" s="162"/>
      <c r="S3" s="162"/>
      <c r="T3" s="162"/>
      <c r="U3" s="162"/>
      <c r="V3" s="162"/>
      <c r="W3" s="162"/>
    </row>
    <row r="4" spans="1:23">
      <c r="A4" s="873"/>
      <c r="B4" s="507" t="s">
        <v>1016</v>
      </c>
      <c r="C4" s="173">
        <f>C3/0.13368</f>
        <v>43762.098668307095</v>
      </c>
      <c r="D4" s="174" t="s">
        <v>467</v>
      </c>
      <c r="E4" s="872"/>
      <c r="F4" s="175" t="s">
        <v>1017</v>
      </c>
      <c r="G4" s="176">
        <v>173</v>
      </c>
      <c r="H4" s="176">
        <v>25300</v>
      </c>
      <c r="I4" s="176">
        <v>195</v>
      </c>
      <c r="J4" s="176">
        <v>28500</v>
      </c>
      <c r="K4" s="341"/>
      <c r="L4" s="341">
        <v>1</v>
      </c>
      <c r="M4" s="341">
        <v>4</v>
      </c>
      <c r="N4" s="342">
        <f t="shared" si="0"/>
        <v>0.25</v>
      </c>
      <c r="O4" s="343">
        <v>555.73</v>
      </c>
      <c r="P4" s="344">
        <v>740.97</v>
      </c>
      <c r="Q4" s="162"/>
      <c r="R4" s="162"/>
      <c r="S4" s="162"/>
      <c r="T4" s="162"/>
      <c r="U4" s="162"/>
      <c r="V4" s="162"/>
      <c r="W4" s="162"/>
    </row>
    <row r="5" spans="1:23" ht="15.75">
      <c r="A5" s="873"/>
      <c r="B5" s="507" t="s">
        <v>32</v>
      </c>
      <c r="C5" s="178">
        <f>C4/42</f>
        <v>1041.954730197788</v>
      </c>
      <c r="D5" s="179" t="s">
        <v>1018</v>
      </c>
      <c r="E5" s="872"/>
      <c r="F5" s="180" t="s">
        <v>792</v>
      </c>
      <c r="G5" s="181">
        <v>160</v>
      </c>
      <c r="H5" s="181">
        <v>23200</v>
      </c>
      <c r="I5" s="181">
        <v>171</v>
      </c>
      <c r="J5" s="181">
        <v>24900</v>
      </c>
      <c r="K5" s="341"/>
      <c r="L5" s="341">
        <v>5</v>
      </c>
      <c r="M5" s="341">
        <v>16</v>
      </c>
      <c r="N5" s="342">
        <f t="shared" si="0"/>
        <v>0.3125</v>
      </c>
      <c r="O5" s="343">
        <v>694.88</v>
      </c>
      <c r="P5" s="344">
        <v>926.5</v>
      </c>
      <c r="Q5" s="162"/>
      <c r="R5" s="162"/>
      <c r="S5" s="162"/>
      <c r="T5" s="162"/>
      <c r="U5" s="162"/>
      <c r="V5" s="162"/>
      <c r="W5" s="162"/>
    </row>
    <row r="6" spans="1:23">
      <c r="A6" s="873"/>
      <c r="B6" s="507" t="s">
        <v>1019</v>
      </c>
      <c r="C6" s="182">
        <f>C5*159/1000</f>
        <v>165.67080210144829</v>
      </c>
      <c r="D6" s="183" t="s">
        <v>1020</v>
      </c>
      <c r="E6" s="508"/>
      <c r="F6"/>
      <c r="G6" s="874" t="s">
        <v>1021</v>
      </c>
      <c r="H6" s="874"/>
      <c r="I6" s="874"/>
      <c r="J6" s="874"/>
      <c r="K6" s="345"/>
      <c r="L6" s="341">
        <v>3</v>
      </c>
      <c r="M6" s="341">
        <v>8</v>
      </c>
      <c r="N6" s="342">
        <f t="shared" si="0"/>
        <v>0.375</v>
      </c>
      <c r="O6" s="343">
        <v>833.15</v>
      </c>
      <c r="P6" s="344">
        <v>1110.8699999999999</v>
      </c>
      <c r="Q6" s="162"/>
      <c r="R6" s="162"/>
      <c r="S6" s="162"/>
      <c r="T6" s="162"/>
      <c r="U6" s="162"/>
      <c r="V6" s="162"/>
      <c r="W6" s="162"/>
    </row>
    <row r="7" spans="1:23">
      <c r="A7" s="864" t="s">
        <v>1022</v>
      </c>
      <c r="B7" s="864"/>
      <c r="C7" s="864"/>
      <c r="D7" s="864"/>
      <c r="E7" s="864"/>
      <c r="F7" s="864"/>
      <c r="G7" s="186"/>
      <c r="H7" s="187"/>
      <c r="I7" s="187"/>
      <c r="J7" s="188"/>
      <c r="K7" s="345"/>
      <c r="L7" s="341">
        <v>1</v>
      </c>
      <c r="M7" s="341">
        <v>2</v>
      </c>
      <c r="N7" s="342">
        <f t="shared" si="0"/>
        <v>0.5</v>
      </c>
      <c r="O7" s="343">
        <v>1111.45</v>
      </c>
      <c r="P7" s="344">
        <v>1481.94</v>
      </c>
      <c r="Q7" s="162"/>
      <c r="R7" s="162"/>
      <c r="S7" s="162"/>
      <c r="T7" s="162"/>
      <c r="U7" s="162"/>
      <c r="V7" s="162"/>
      <c r="W7" s="162"/>
    </row>
    <row r="8" spans="1:23">
      <c r="A8" s="893" t="s">
        <v>1023</v>
      </c>
      <c r="B8" s="893"/>
      <c r="C8" s="866" t="s">
        <v>1024</v>
      </c>
      <c r="D8" s="866"/>
      <c r="E8" s="867" t="s">
        <v>1025</v>
      </c>
      <c r="F8" s="867"/>
      <c r="G8" s="189"/>
      <c r="J8" s="190"/>
      <c r="K8" s="345"/>
      <c r="L8" s="341">
        <v>5</v>
      </c>
      <c r="M8" s="341">
        <v>8</v>
      </c>
      <c r="N8" s="342">
        <f t="shared" si="0"/>
        <v>0.625</v>
      </c>
      <c r="O8" s="343">
        <v>1388.88</v>
      </c>
      <c r="P8" s="344">
        <v>1851.84</v>
      </c>
      <c r="Q8" s="162"/>
      <c r="R8" s="162"/>
      <c r="S8" s="162"/>
      <c r="T8" s="162"/>
      <c r="U8" s="162"/>
      <c r="V8" s="162"/>
      <c r="W8" s="162"/>
    </row>
    <row r="9" spans="1:23">
      <c r="A9" s="509" t="s">
        <v>1026</v>
      </c>
      <c r="B9" s="507" t="s">
        <v>1027</v>
      </c>
      <c r="C9" s="346">
        <f>E9*0.3048</f>
        <v>5.7403999999898403</v>
      </c>
      <c r="D9" s="159" t="s">
        <v>1028</v>
      </c>
      <c r="E9" s="510">
        <f>+VLOOKUP(Capacidad,Factores!B3:D24,3,1)</f>
        <v>18.833333333300001</v>
      </c>
      <c r="F9" s="194" t="s">
        <v>1029</v>
      </c>
      <c r="G9" s="189"/>
      <c r="J9" s="190"/>
      <c r="K9" s="345"/>
      <c r="L9" s="341">
        <v>3</v>
      </c>
      <c r="M9" s="341">
        <v>4</v>
      </c>
      <c r="N9" s="342">
        <f t="shared" si="0"/>
        <v>0.75</v>
      </c>
      <c r="O9" s="343">
        <v>1667.18</v>
      </c>
      <c r="P9" s="344">
        <v>2222.19</v>
      </c>
      <c r="Q9" s="162"/>
      <c r="R9" s="162"/>
      <c r="S9" s="162"/>
      <c r="T9" s="162"/>
      <c r="U9" s="162"/>
      <c r="V9" s="162"/>
      <c r="W9" s="162"/>
    </row>
    <row r="10" spans="1:23">
      <c r="A10" s="509" t="s">
        <v>1030</v>
      </c>
      <c r="B10" s="507" t="s">
        <v>1031</v>
      </c>
      <c r="C10" s="348">
        <f>E10*0.3048</f>
        <v>6.4008000000000003</v>
      </c>
      <c r="D10" s="195" t="s">
        <v>1028</v>
      </c>
      <c r="E10" s="511">
        <f>+VLOOKUP(Capacidad,Factores!B3:D24,2,1)</f>
        <v>21</v>
      </c>
      <c r="F10" s="197" t="s">
        <v>1029</v>
      </c>
      <c r="G10" s="189"/>
      <c r="H10" s="216"/>
      <c r="I10" s="216"/>
      <c r="J10" s="190"/>
      <c r="K10" s="345"/>
      <c r="L10" s="341">
        <v>7</v>
      </c>
      <c r="M10" s="341">
        <v>8</v>
      </c>
      <c r="N10" s="342">
        <f t="shared" si="0"/>
        <v>0.875</v>
      </c>
      <c r="O10" s="343">
        <v>1944.61</v>
      </c>
      <c r="P10" s="344">
        <v>2592.81</v>
      </c>
      <c r="Q10" s="162"/>
      <c r="R10" s="162"/>
      <c r="S10" s="162"/>
      <c r="T10" s="162"/>
      <c r="U10" s="162"/>
      <c r="V10" s="162"/>
      <c r="W10" s="162"/>
    </row>
    <row r="11" spans="1:23" ht="39">
      <c r="A11" s="512" t="s">
        <v>1032</v>
      </c>
      <c r="B11" s="513" t="s">
        <v>1033</v>
      </c>
      <c r="C11" s="207">
        <v>1</v>
      </c>
      <c r="E11" s="207">
        <v>1</v>
      </c>
      <c r="G11" s="189"/>
      <c r="H11" s="207"/>
      <c r="I11" s="183"/>
      <c r="J11" s="205">
        <f>+C10</f>
        <v>6.4008000000000003</v>
      </c>
      <c r="K11" s="345"/>
      <c r="L11" s="341">
        <v>1</v>
      </c>
      <c r="M11" s="341">
        <v>1</v>
      </c>
      <c r="N11" s="342">
        <f t="shared" si="0"/>
        <v>1</v>
      </c>
      <c r="O11" s="343">
        <v>2222.91</v>
      </c>
      <c r="P11" s="344">
        <v>2263.88</v>
      </c>
      <c r="Q11" s="162"/>
      <c r="R11" s="162"/>
      <c r="S11" s="162"/>
      <c r="T11" s="162"/>
      <c r="U11" s="162"/>
      <c r="V11" s="162"/>
      <c r="W11" s="162"/>
    </row>
    <row r="12" spans="1:23" ht="39">
      <c r="A12" s="512" t="s">
        <v>1034</v>
      </c>
      <c r="B12" s="513" t="s">
        <v>1035</v>
      </c>
      <c r="C12" s="173">
        <f>E12*25.4</f>
        <v>3.1749999999999998</v>
      </c>
      <c r="D12" s="195" t="s">
        <v>1036</v>
      </c>
      <c r="E12" s="206">
        <v>0.125</v>
      </c>
      <c r="F12" s="195" t="s">
        <v>1037</v>
      </c>
      <c r="G12" s="189"/>
      <c r="H12" s="207"/>
      <c r="I12" s="183"/>
      <c r="J12" s="351">
        <f>E10</f>
        <v>21</v>
      </c>
      <c r="K12" s="345">
        <v>1</v>
      </c>
      <c r="L12" s="341">
        <v>1</v>
      </c>
      <c r="M12" s="341">
        <v>8</v>
      </c>
      <c r="N12" s="342">
        <f>(L12/M12)+K12</f>
        <v>1.125</v>
      </c>
      <c r="O12" s="343">
        <v>2500.77</v>
      </c>
      <c r="P12" s="344">
        <v>3704.84</v>
      </c>
      <c r="Q12" s="162"/>
      <c r="R12" s="162"/>
      <c r="S12" s="162"/>
      <c r="T12" s="162"/>
      <c r="U12" s="162"/>
      <c r="V12" s="162"/>
      <c r="W12" s="162"/>
    </row>
    <row r="13" spans="1:23" ht="26.25">
      <c r="A13" s="512" t="s">
        <v>1038</v>
      </c>
      <c r="B13" s="513" t="s">
        <v>1039</v>
      </c>
      <c r="C13" s="209">
        <f>E13*25.4</f>
        <v>1.5874999999999999</v>
      </c>
      <c r="D13" s="187" t="s">
        <v>1036</v>
      </c>
      <c r="E13" s="435">
        <v>6.25E-2</v>
      </c>
      <c r="F13" s="210" t="s">
        <v>1040</v>
      </c>
      <c r="G13" s="189"/>
      <c r="H13" s="211"/>
      <c r="I13" s="212"/>
      <c r="J13" s="190"/>
      <c r="K13" s="345">
        <v>1</v>
      </c>
      <c r="L13" s="341">
        <v>1</v>
      </c>
      <c r="M13" s="341">
        <v>4</v>
      </c>
      <c r="N13" s="342">
        <f>(L13/M13)+K13</f>
        <v>1.25</v>
      </c>
      <c r="O13" s="343">
        <v>2778.63</v>
      </c>
      <c r="P13" s="344">
        <v>3734.02</v>
      </c>
      <c r="Q13" s="162"/>
      <c r="R13" s="162"/>
      <c r="S13" s="162"/>
      <c r="T13" s="162"/>
      <c r="U13" s="162"/>
      <c r="V13" s="162"/>
      <c r="W13" s="162"/>
    </row>
    <row r="14" spans="1:23">
      <c r="A14" s="509"/>
      <c r="B14" s="507" t="s">
        <v>1041</v>
      </c>
      <c r="C14" s="868" t="s">
        <v>1017</v>
      </c>
      <c r="D14" s="868"/>
      <c r="E14" s="868"/>
      <c r="F14" s="868"/>
      <c r="G14" s="189"/>
      <c r="H14" s="213">
        <f>E9</f>
        <v>18.833333333300001</v>
      </c>
      <c r="I14" s="214" t="s">
        <v>1029</v>
      </c>
      <c r="J14" s="190"/>
      <c r="K14" s="345">
        <v>1</v>
      </c>
      <c r="L14" s="341">
        <v>1</v>
      </c>
      <c r="M14" s="341">
        <v>2</v>
      </c>
      <c r="N14" s="342">
        <f>(L14/M14)+K14</f>
        <v>1.5</v>
      </c>
      <c r="O14" s="343">
        <v>3334.36</v>
      </c>
      <c r="P14" s="344">
        <v>4445.8100000000004</v>
      </c>
      <c r="Q14" s="162"/>
      <c r="R14" s="162"/>
      <c r="S14" s="162"/>
      <c r="T14" s="162"/>
      <c r="U14" s="162"/>
      <c r="V14" s="162"/>
      <c r="W14" s="162"/>
    </row>
    <row r="15" spans="1:23">
      <c r="A15" s="509" t="s">
        <v>1042</v>
      </c>
      <c r="B15" s="507" t="s">
        <v>1043</v>
      </c>
      <c r="C15" s="215">
        <f>VLOOKUP($C$14,$F$3:$J$5,2,0)</f>
        <v>173</v>
      </c>
      <c r="D15" s="216" t="s">
        <v>1044</v>
      </c>
      <c r="E15" s="217">
        <f>VLOOKUP($C$14,$F$3:$J$5,3,0)</f>
        <v>25300</v>
      </c>
      <c r="F15" s="195" t="s">
        <v>1045</v>
      </c>
      <c r="G15" s="189"/>
      <c r="H15" s="218">
        <f>C9</f>
        <v>5.7403999999898403</v>
      </c>
      <c r="I15" s="214" t="s">
        <v>1028</v>
      </c>
      <c r="J15" s="190"/>
      <c r="K15" s="355">
        <v>1</v>
      </c>
      <c r="L15" s="356">
        <v>3</v>
      </c>
      <c r="M15" s="356">
        <v>4</v>
      </c>
      <c r="N15" s="357">
        <f>(L15/M15)+K15</f>
        <v>1.75</v>
      </c>
      <c r="O15" s="343">
        <v>3890.09</v>
      </c>
      <c r="P15" s="344">
        <v>5186.79</v>
      </c>
      <c r="Q15" s="162"/>
      <c r="R15" s="162"/>
      <c r="S15" s="162"/>
      <c r="T15" s="162"/>
      <c r="U15" s="162"/>
      <c r="V15" s="162"/>
      <c r="W15" s="162"/>
    </row>
    <row r="16" spans="1:23">
      <c r="A16" s="509" t="s">
        <v>1046</v>
      </c>
      <c r="B16" s="507" t="s">
        <v>1047</v>
      </c>
      <c r="C16" s="217">
        <f>VLOOKUP($C$14,$F$3:$J$5,4,0)</f>
        <v>195</v>
      </c>
      <c r="D16" s="195" t="s">
        <v>1044</v>
      </c>
      <c r="E16" s="217">
        <f>VLOOKUP($C$14,$F$3:$J$5,5,0)</f>
        <v>28500</v>
      </c>
      <c r="F16" s="195" t="s">
        <v>1045</v>
      </c>
      <c r="G16" s="189"/>
      <c r="J16" s="190"/>
      <c r="K16" s="355"/>
      <c r="L16" s="356"/>
      <c r="M16" s="356">
        <v>2</v>
      </c>
      <c r="N16" s="357">
        <f>M16</f>
        <v>2</v>
      </c>
      <c r="O16" s="343">
        <v>4445.8100000000004</v>
      </c>
      <c r="P16" s="344">
        <v>5927.75</v>
      </c>
      <c r="Q16" s="162"/>
      <c r="R16" s="162"/>
      <c r="S16" s="162"/>
      <c r="T16" s="162"/>
      <c r="U16" s="162"/>
      <c r="V16" s="162"/>
      <c r="W16" s="162"/>
    </row>
    <row r="17" spans="1:23" ht="15" customHeight="1">
      <c r="A17" s="509" t="s">
        <v>1048</v>
      </c>
      <c r="B17" s="507" t="s">
        <v>1049</v>
      </c>
      <c r="C17" s="222">
        <f>(4.9*C9*(C10-0.3)*C11)/C15+C12</f>
        <v>4.1669251928768567</v>
      </c>
      <c r="D17" t="s">
        <v>1036</v>
      </c>
      <c r="E17" s="222">
        <f>(2.6*E9*(E10-1)*E11)/E15+E12</f>
        <v>0.16370882740441106</v>
      </c>
      <c r="F17" t="s">
        <v>1037</v>
      </c>
      <c r="G17" s="859" t="s">
        <v>1050</v>
      </c>
      <c r="H17" s="859"/>
      <c r="I17" s="859"/>
      <c r="J17" s="859"/>
      <c r="K17" s="187"/>
      <c r="L17" s="187"/>
      <c r="M17" s="187"/>
      <c r="N17" s="187"/>
      <c r="O17" s="187"/>
      <c r="P17" s="188"/>
      <c r="Q17" s="162"/>
      <c r="R17" s="162"/>
      <c r="S17" s="162"/>
      <c r="T17" s="162"/>
      <c r="U17" s="162"/>
      <c r="V17" s="162"/>
      <c r="W17" s="162"/>
    </row>
    <row r="18" spans="1:23">
      <c r="A18" s="514" t="s">
        <v>1051</v>
      </c>
      <c r="B18" s="515" t="s">
        <v>1052</v>
      </c>
      <c r="C18" s="225">
        <f>(4.9*C9*(C10-0.3))/C16</f>
        <v>0.88001568393690421</v>
      </c>
      <c r="D18" s="197" t="s">
        <v>1036</v>
      </c>
      <c r="E18" s="225">
        <f>(2.6*E9*(E10-1))/E16</f>
        <v>3.4362573099354386E-2</v>
      </c>
      <c r="F18" s="197" t="s">
        <v>1037</v>
      </c>
      <c r="G18" s="859"/>
      <c r="H18" s="859"/>
      <c r="I18" s="859"/>
      <c r="J18" s="859"/>
      <c r="K18" s="226"/>
      <c r="L18" s="226"/>
      <c r="M18" s="226"/>
      <c r="N18" s="226"/>
      <c r="O18" s="226"/>
      <c r="P18" s="227"/>
      <c r="Q18" s="162"/>
      <c r="R18" s="162"/>
      <c r="S18" s="162"/>
      <c r="T18" s="162"/>
      <c r="U18" s="162"/>
      <c r="V18" s="162"/>
      <c r="W18" s="162"/>
    </row>
    <row r="19" spans="1:23">
      <c r="A19" s="162"/>
      <c r="B19" s="162"/>
      <c r="C19" s="162"/>
      <c r="D19" s="162"/>
      <c r="E19" s="162"/>
      <c r="F19" s="162"/>
      <c r="G19" s="162"/>
      <c r="H19" s="162"/>
      <c r="I19" s="162"/>
      <c r="J19" s="162"/>
      <c r="K19" s="162"/>
      <c r="L19" s="162"/>
      <c r="M19" s="162"/>
      <c r="N19" s="162"/>
      <c r="O19" s="162"/>
      <c r="P19" s="162"/>
      <c r="Q19" s="162"/>
      <c r="R19" s="162"/>
      <c r="S19" s="162"/>
      <c r="T19" s="162"/>
      <c r="U19" s="162"/>
      <c r="V19" s="162"/>
      <c r="W19" s="162"/>
    </row>
    <row r="20" spans="1:23" ht="18">
      <c r="A20" s="890" t="s">
        <v>1053</v>
      </c>
      <c r="B20" s="890"/>
      <c r="C20" s="890"/>
      <c r="D20" s="890"/>
      <c r="E20" s="890"/>
      <c r="F20" s="890"/>
      <c r="G20" s="890"/>
      <c r="H20" s="890"/>
      <c r="I20" s="890"/>
      <c r="J20" s="890"/>
      <c r="K20" s="890"/>
      <c r="L20" s="890"/>
      <c r="M20" s="890"/>
      <c r="N20" s="262"/>
      <c r="O20"/>
      <c r="P20"/>
      <c r="Q20"/>
      <c r="R20"/>
      <c r="S20"/>
      <c r="T20"/>
      <c r="U20"/>
      <c r="V20"/>
      <c r="W20"/>
    </row>
    <row r="21" spans="1:23" ht="39" customHeight="1">
      <c r="A21" s="856" t="s">
        <v>1054</v>
      </c>
      <c r="B21" s="516" t="s">
        <v>1055</v>
      </c>
      <c r="C21" s="265" t="s">
        <v>1071</v>
      </c>
      <c r="D21" s="265" t="s">
        <v>1049</v>
      </c>
      <c r="E21" s="265" t="s">
        <v>1052</v>
      </c>
      <c r="F21" s="265" t="s">
        <v>1072</v>
      </c>
      <c r="G21" s="265" t="s">
        <v>1081</v>
      </c>
      <c r="H21" s="265" t="s">
        <v>1061</v>
      </c>
      <c r="I21" s="265" t="s">
        <v>1106</v>
      </c>
      <c r="J21" s="891" t="s">
        <v>1107</v>
      </c>
      <c r="K21" s="891"/>
      <c r="L21" s="891"/>
      <c r="M21" s="358" t="s">
        <v>1064</v>
      </c>
      <c r="N21" s="892"/>
      <c r="O21" s="892"/>
      <c r="P21" s="855"/>
      <c r="Q21" s="855"/>
      <c r="R21" s="887"/>
      <c r="S21" s="887"/>
      <c r="T21" s="887"/>
      <c r="U21" s="887"/>
      <c r="V21" s="334"/>
      <c r="W21" s="334"/>
    </row>
    <row r="22" spans="1:23" ht="24.75" customHeight="1">
      <c r="A22" s="856"/>
      <c r="B22" s="165" t="s">
        <v>1029</v>
      </c>
      <c r="C22" s="165" t="s">
        <v>1029</v>
      </c>
      <c r="D22" s="235" t="s">
        <v>1040</v>
      </c>
      <c r="E22" s="235" t="s">
        <v>1040</v>
      </c>
      <c r="F22" s="235" t="s">
        <v>1040</v>
      </c>
      <c r="G22" s="235" t="s">
        <v>1040</v>
      </c>
      <c r="H22" s="165" t="s">
        <v>1065</v>
      </c>
      <c r="I22" s="235" t="s">
        <v>1040</v>
      </c>
      <c r="J22" s="518" t="s">
        <v>1108</v>
      </c>
      <c r="K22" s="167"/>
      <c r="L22" s="373" t="s">
        <v>1108</v>
      </c>
      <c r="M22" s="359" t="s">
        <v>1069</v>
      </c>
      <c r="N22" s="517"/>
      <c r="O22" s="234"/>
      <c r="P22" s="234"/>
      <c r="Q22" s="234"/>
      <c r="R22" s="234"/>
      <c r="S22" s="234"/>
      <c r="T22" s="234"/>
      <c r="U22" s="234"/>
      <c r="V22" s="360"/>
      <c r="W22" s="361"/>
    </row>
    <row r="23" spans="1:23">
      <c r="A23" s="519">
        <v>1</v>
      </c>
      <c r="B23" s="520">
        <v>6</v>
      </c>
      <c r="C23" s="364">
        <f>E10</f>
        <v>21</v>
      </c>
      <c r="D23" s="241">
        <f t="shared" ref="D23:D32" si="1">IF(C23=0,0,(2.6*$E$9*(C23-1)*$E$11)/$E$15+$E$12)</f>
        <v>0.16370882740441106</v>
      </c>
      <c r="E23" s="242">
        <f t="shared" ref="E23:E28" si="2">(2.6*$E$9*(C23-1))/$E$16</f>
        <v>3.4362573099354386E-2</v>
      </c>
      <c r="F23" s="243">
        <f t="shared" ref="F23:F32" si="3">D23*1.125</f>
        <v>0.18417243082996243</v>
      </c>
      <c r="G23" s="244">
        <f t="shared" ref="G23:G32" si="4">IF(C23=0,0,VLOOKUP(F23,Q38:R2037,2,1))</f>
        <v>0.25</v>
      </c>
      <c r="H23" s="245">
        <f t="shared" ref="H23:H32" si="5">(IF(C23=0,0,(PI()*$E$9*B23*G23*$I$55/(12))))</f>
        <v>3697.9163526564407</v>
      </c>
      <c r="I23" s="365">
        <f t="shared" ref="I23:I32" si="6">F23*0.875</f>
        <v>0.16115087697621713</v>
      </c>
      <c r="J23" s="247">
        <f>IF(B23=6,VLOOKUP($G$23,$N$2:$P$16,2,0),0)</f>
        <v>555.73</v>
      </c>
      <c r="K23" s="247">
        <f>IF(B23=8,VLOOKUP($G$23,$N$2:$P$16,3,0),0)</f>
        <v>0</v>
      </c>
      <c r="L23" s="366">
        <f t="shared" ref="L23:L32" si="7">IF(B23=6,J23,K23)</f>
        <v>555.73</v>
      </c>
      <c r="M23" s="248">
        <f>ROUNDUP((H23/2.20462)/L23,0)</f>
        <v>4</v>
      </c>
      <c r="N23" s="521"/>
      <c r="O23" s="249"/>
      <c r="P23" s="249"/>
      <c r="Q23" s="251"/>
      <c r="R23" s="252"/>
      <c r="S23" s="252"/>
      <c r="T23"/>
      <c r="U23" s="252"/>
      <c r="V23" s="252"/>
      <c r="W23" s="252"/>
    </row>
    <row r="24" spans="1:23">
      <c r="A24" s="519">
        <v>2</v>
      </c>
      <c r="B24" s="363">
        <f t="shared" ref="B24:B32" si="8">$B$23</f>
        <v>6</v>
      </c>
      <c r="C24" s="176">
        <f t="shared" ref="C24:C32" si="9">IF(C23-B23&lt;0,0,C23-B23)</f>
        <v>15</v>
      </c>
      <c r="D24" s="241">
        <f t="shared" si="1"/>
        <v>0.15209617918308774</v>
      </c>
      <c r="E24" s="242">
        <f t="shared" si="2"/>
        <v>2.4053801169548073E-2</v>
      </c>
      <c r="F24" s="243">
        <f t="shared" si="3"/>
        <v>0.1711082015809737</v>
      </c>
      <c r="G24" s="244">
        <f t="shared" si="4"/>
        <v>0.25</v>
      </c>
      <c r="H24" s="245">
        <f t="shared" si="5"/>
        <v>3697.9163526564407</v>
      </c>
      <c r="I24" s="365">
        <f t="shared" si="6"/>
        <v>0.14971967638335199</v>
      </c>
      <c r="J24" s="247">
        <f>IF(B24=6,VLOOKUP($G$24,$N$2:$P$16,2,0),0)</f>
        <v>555.73</v>
      </c>
      <c r="K24" s="247">
        <f>IF(B24=8,VLOOKUP($G$24,$N$2:$P$16,3,0),0)</f>
        <v>0</v>
      </c>
      <c r="L24" s="366">
        <f t="shared" si="7"/>
        <v>555.73</v>
      </c>
      <c r="M24" s="254">
        <f>ROUNDUP((H24/2.20462)/L24,0)</f>
        <v>4</v>
      </c>
      <c r="N24" s="521"/>
      <c r="O24" s="249"/>
      <c r="P24" s="249"/>
      <c r="Q24" s="251"/>
      <c r="R24" s="252"/>
      <c r="S24" s="252"/>
      <c r="T24"/>
      <c r="U24" s="252"/>
      <c r="V24" s="252"/>
      <c r="W24" s="252"/>
    </row>
    <row r="25" spans="1:23">
      <c r="A25" s="519">
        <v>3</v>
      </c>
      <c r="B25" s="176">
        <f t="shared" si="8"/>
        <v>6</v>
      </c>
      <c r="C25" s="176">
        <f t="shared" si="9"/>
        <v>9</v>
      </c>
      <c r="D25" s="241">
        <f t="shared" si="1"/>
        <v>0.14048353096176441</v>
      </c>
      <c r="E25" s="242">
        <f t="shared" si="2"/>
        <v>1.3745029239741755E-2</v>
      </c>
      <c r="F25" s="243">
        <f t="shared" si="3"/>
        <v>0.15804397233198497</v>
      </c>
      <c r="G25" s="244">
        <f t="shared" si="4"/>
        <v>0.1875</v>
      </c>
      <c r="H25" s="245">
        <f t="shared" si="5"/>
        <v>2773.437264492331</v>
      </c>
      <c r="I25" s="365">
        <f t="shared" si="6"/>
        <v>0.13828847579048686</v>
      </c>
      <c r="J25" s="247">
        <f>IF(B25=6,VLOOKUP($G$25,$N$2:$P$16,2,0),0)</f>
        <v>415</v>
      </c>
      <c r="K25" s="247">
        <f>IF(B25=8,VLOOKUP($G$25,$N$2:$P$16,3,0),0)</f>
        <v>0</v>
      </c>
      <c r="L25" s="366">
        <f t="shared" si="7"/>
        <v>415</v>
      </c>
      <c r="M25" s="254">
        <f>IF(G25=0,0,ROUNDUP((H25/2.20462)/L25,0))</f>
        <v>4</v>
      </c>
      <c r="N25" s="521"/>
      <c r="O25" s="249"/>
      <c r="P25" s="249"/>
      <c r="Q25" s="251"/>
      <c r="R25" s="252"/>
      <c r="S25" s="252"/>
      <c r="T25"/>
      <c r="U25" s="252"/>
      <c r="V25" s="252"/>
      <c r="W25" s="252"/>
    </row>
    <row r="26" spans="1:23">
      <c r="A26" s="519">
        <v>4</v>
      </c>
      <c r="B26" s="176">
        <f t="shared" si="8"/>
        <v>6</v>
      </c>
      <c r="C26" s="176">
        <f t="shared" si="9"/>
        <v>3</v>
      </c>
      <c r="D26" s="241">
        <f t="shared" si="1"/>
        <v>0.12887088274044112</v>
      </c>
      <c r="E26" s="242">
        <f t="shared" si="2"/>
        <v>3.4362573099354387E-3</v>
      </c>
      <c r="F26" s="243">
        <f t="shared" si="3"/>
        <v>0.14497974308299627</v>
      </c>
      <c r="G26" s="244">
        <f t="shared" si="4"/>
        <v>0.1875</v>
      </c>
      <c r="H26" s="245">
        <f t="shared" si="5"/>
        <v>2773.437264492331</v>
      </c>
      <c r="I26" s="365">
        <f t="shared" si="6"/>
        <v>0.12685727519762174</v>
      </c>
      <c r="J26" s="247">
        <f>IF(B26=6,VLOOKUP($G$26,$N$2:$P$16,2,0),0)</f>
        <v>415</v>
      </c>
      <c r="K26" s="247">
        <f>IF(B26=8,VLOOKUP($G$26,$N$2:$P$16,3,0),0)</f>
        <v>0</v>
      </c>
      <c r="L26" s="366">
        <f t="shared" si="7"/>
        <v>415</v>
      </c>
      <c r="M26" s="254">
        <f t="shared" ref="M26:M32" si="10">IF(G26=0,0,ROUNDUP((H26/2.2)/L26,0))</f>
        <v>4</v>
      </c>
      <c r="N26" s="521"/>
      <c r="O26" s="249"/>
      <c r="P26" s="249"/>
      <c r="Q26" s="251"/>
      <c r="R26" s="252"/>
      <c r="S26" s="252"/>
      <c r="T26"/>
      <c r="U26" s="252"/>
      <c r="V26" s="252"/>
      <c r="W26" s="252"/>
    </row>
    <row r="27" spans="1:23">
      <c r="A27" s="519">
        <v>5</v>
      </c>
      <c r="B27" s="176">
        <f t="shared" si="8"/>
        <v>6</v>
      </c>
      <c r="C27" s="176">
        <f t="shared" si="9"/>
        <v>0</v>
      </c>
      <c r="D27" s="241">
        <f t="shared" si="1"/>
        <v>0</v>
      </c>
      <c r="E27" s="242">
        <f t="shared" si="2"/>
        <v>-1.7181286549677194E-3</v>
      </c>
      <c r="F27" s="243">
        <f t="shared" si="3"/>
        <v>0</v>
      </c>
      <c r="G27" s="244">
        <f t="shared" si="4"/>
        <v>0</v>
      </c>
      <c r="H27" s="245">
        <f t="shared" si="5"/>
        <v>0</v>
      </c>
      <c r="I27" s="365">
        <f t="shared" si="6"/>
        <v>0</v>
      </c>
      <c r="J27" s="247">
        <f>IF(B27=6,VLOOKUP($G$27,$N$2:$P$16,2,0),0)</f>
        <v>0</v>
      </c>
      <c r="K27" s="247">
        <f>IF(B27=8,VLOOKUP($G$27,$N$2:$P$16,3,0),0)</f>
        <v>0</v>
      </c>
      <c r="L27" s="366">
        <f t="shared" si="7"/>
        <v>0</v>
      </c>
      <c r="M27" s="254">
        <f t="shared" si="10"/>
        <v>0</v>
      </c>
      <c r="N27" s="521"/>
      <c r="O27" s="249"/>
      <c r="P27" s="249"/>
      <c r="Q27" s="251"/>
      <c r="R27" s="252"/>
      <c r="S27" s="252"/>
      <c r="T27"/>
      <c r="U27" s="252"/>
      <c r="V27" s="252"/>
      <c r="W27" s="252"/>
    </row>
    <row r="28" spans="1:23">
      <c r="A28" s="519">
        <v>6</v>
      </c>
      <c r="B28" s="176">
        <f t="shared" si="8"/>
        <v>6</v>
      </c>
      <c r="C28" s="176">
        <f t="shared" si="9"/>
        <v>0</v>
      </c>
      <c r="D28" s="241">
        <f t="shared" si="1"/>
        <v>0</v>
      </c>
      <c r="E28" s="242">
        <f t="shared" si="2"/>
        <v>-1.7181286549677194E-3</v>
      </c>
      <c r="F28" s="243">
        <f t="shared" si="3"/>
        <v>0</v>
      </c>
      <c r="G28" s="244">
        <f t="shared" si="4"/>
        <v>0</v>
      </c>
      <c r="H28" s="245">
        <f t="shared" si="5"/>
        <v>0</v>
      </c>
      <c r="I28" s="365">
        <f t="shared" si="6"/>
        <v>0</v>
      </c>
      <c r="J28" s="247">
        <f>IF(B28=6,VLOOKUP($G$28,$N$2:$P$16,2,0),0)</f>
        <v>0</v>
      </c>
      <c r="K28" s="247">
        <f>IF(B28=8,VLOOKUP($G$28,$N$2:$P$16,3,0),0)</f>
        <v>0</v>
      </c>
      <c r="L28" s="366">
        <f t="shared" si="7"/>
        <v>0</v>
      </c>
      <c r="M28" s="254">
        <f t="shared" si="10"/>
        <v>0</v>
      </c>
      <c r="N28" s="521"/>
      <c r="O28" s="249"/>
      <c r="P28" s="249"/>
      <c r="Q28" s="251"/>
      <c r="R28" s="252"/>
      <c r="S28" s="252"/>
      <c r="T28"/>
      <c r="U28" s="252"/>
      <c r="V28" s="252"/>
      <c r="W28" s="252"/>
    </row>
    <row r="29" spans="1:23">
      <c r="A29" s="519">
        <v>7</v>
      </c>
      <c r="B29" s="176">
        <f t="shared" si="8"/>
        <v>6</v>
      </c>
      <c r="C29" s="176">
        <f t="shared" si="9"/>
        <v>0</v>
      </c>
      <c r="D29" s="241">
        <f t="shared" si="1"/>
        <v>0</v>
      </c>
      <c r="E29" s="242">
        <f>IF(C29=0,0,(2.6*$E$9*(C29-1))/$E$16)</f>
        <v>0</v>
      </c>
      <c r="F29" s="243">
        <f t="shared" si="3"/>
        <v>0</v>
      </c>
      <c r="G29" s="244">
        <f t="shared" si="4"/>
        <v>0</v>
      </c>
      <c r="H29" s="245">
        <f t="shared" si="5"/>
        <v>0</v>
      </c>
      <c r="I29" s="369">
        <f t="shared" si="6"/>
        <v>0</v>
      </c>
      <c r="J29" s="247">
        <f>IF(B29=6,VLOOKUP($G$29,$N$2:$P$16,2,0),0)</f>
        <v>0</v>
      </c>
      <c r="K29" s="247">
        <f>IF(B29=8,VLOOKUP($G$29,$N$2:$P$16,3,0),0)</f>
        <v>0</v>
      </c>
      <c r="L29" s="366">
        <f t="shared" si="7"/>
        <v>0</v>
      </c>
      <c r="M29" s="254">
        <f t="shared" si="10"/>
        <v>0</v>
      </c>
      <c r="N29" s="521"/>
      <c r="O29" s="249"/>
      <c r="P29" s="249"/>
      <c r="Q29" s="251"/>
      <c r="R29" s="252"/>
      <c r="S29" s="252"/>
      <c r="T29"/>
      <c r="U29" s="252"/>
      <c r="V29" s="252"/>
      <c r="W29" s="252"/>
    </row>
    <row r="30" spans="1:23">
      <c r="A30" s="519">
        <v>8</v>
      </c>
      <c r="B30" s="176">
        <f t="shared" si="8"/>
        <v>6</v>
      </c>
      <c r="C30" s="176">
        <f t="shared" si="9"/>
        <v>0</v>
      </c>
      <c r="D30" s="241">
        <f t="shared" si="1"/>
        <v>0</v>
      </c>
      <c r="E30" s="242">
        <f>IF(C30=0,0,(2.6*$E$9*(C30-1))/$E$16)</f>
        <v>0</v>
      </c>
      <c r="F30" s="243">
        <f t="shared" si="3"/>
        <v>0</v>
      </c>
      <c r="G30" s="244">
        <f t="shared" si="4"/>
        <v>0</v>
      </c>
      <c r="H30" s="245">
        <f t="shared" si="5"/>
        <v>0</v>
      </c>
      <c r="I30" s="369">
        <f t="shared" si="6"/>
        <v>0</v>
      </c>
      <c r="J30" s="247">
        <f>IF(B30=6,VLOOKUP($G$30,$N$2:$P$16,2,0),0)</f>
        <v>0</v>
      </c>
      <c r="K30" s="247">
        <f>IF(B30=8,VLOOKUP($G$30,$N$2:$P$16,3,0),0)</f>
        <v>0</v>
      </c>
      <c r="L30" s="366">
        <f t="shared" si="7"/>
        <v>0</v>
      </c>
      <c r="M30" s="254">
        <f t="shared" si="10"/>
        <v>0</v>
      </c>
      <c r="N30" s="521"/>
      <c r="O30" s="249"/>
      <c r="P30" s="249"/>
      <c r="Q30" s="251"/>
      <c r="R30" s="252"/>
      <c r="S30" s="252"/>
      <c r="T30"/>
      <c r="U30" s="252"/>
      <c r="V30" s="252"/>
      <c r="W30" s="252"/>
    </row>
    <row r="31" spans="1:23">
      <c r="A31" s="519">
        <v>9</v>
      </c>
      <c r="B31" s="176">
        <f t="shared" si="8"/>
        <v>6</v>
      </c>
      <c r="C31" s="176">
        <f t="shared" si="9"/>
        <v>0</v>
      </c>
      <c r="D31" s="241">
        <f t="shared" si="1"/>
        <v>0</v>
      </c>
      <c r="E31" s="242">
        <f>IF(C31=0,0,(2.6*$E$9*(C31-1))/$E$16)</f>
        <v>0</v>
      </c>
      <c r="F31" s="243">
        <f t="shared" si="3"/>
        <v>0</v>
      </c>
      <c r="G31" s="244">
        <f t="shared" si="4"/>
        <v>0</v>
      </c>
      <c r="H31" s="245">
        <f t="shared" si="5"/>
        <v>0</v>
      </c>
      <c r="I31" s="369">
        <f t="shared" si="6"/>
        <v>0</v>
      </c>
      <c r="J31" s="247">
        <f>IF(B31=6,VLOOKUP($G$31,$N$2:$P$16,2,0),0)</f>
        <v>0</v>
      </c>
      <c r="K31" s="247">
        <f>IF(B31=8,VLOOKUP($G$31,$N$2:$P$16,3,0),0)</f>
        <v>0</v>
      </c>
      <c r="L31" s="366">
        <f t="shared" si="7"/>
        <v>0</v>
      </c>
      <c r="M31" s="254">
        <f t="shared" si="10"/>
        <v>0</v>
      </c>
      <c r="N31" s="521"/>
      <c r="O31" s="249"/>
      <c r="P31" s="249"/>
      <c r="Q31" s="251"/>
      <c r="R31" s="252"/>
      <c r="S31" s="252"/>
      <c r="T31"/>
      <c r="U31" s="252"/>
      <c r="V31" s="252"/>
      <c r="W31" s="252"/>
    </row>
    <row r="32" spans="1:23">
      <c r="A32" s="519">
        <v>10</v>
      </c>
      <c r="B32" s="176">
        <f t="shared" si="8"/>
        <v>6</v>
      </c>
      <c r="C32" s="176">
        <f t="shared" si="9"/>
        <v>0</v>
      </c>
      <c r="D32" s="241">
        <f t="shared" si="1"/>
        <v>0</v>
      </c>
      <c r="E32" s="242">
        <f>IF(C32=0,0,(2.6*$E$9*(C32-1))/$E$16)</f>
        <v>0</v>
      </c>
      <c r="F32" s="243">
        <f t="shared" si="3"/>
        <v>0</v>
      </c>
      <c r="G32" s="244">
        <f t="shared" si="4"/>
        <v>0</v>
      </c>
      <c r="H32" s="245">
        <f t="shared" si="5"/>
        <v>0</v>
      </c>
      <c r="I32" s="369">
        <f t="shared" si="6"/>
        <v>0</v>
      </c>
      <c r="J32" s="247">
        <f>IF(B32=6,VLOOKUP($G$32,$N$2:$P$16,2,0),0)</f>
        <v>0</v>
      </c>
      <c r="K32" s="247">
        <f>IF(B32=8,VLOOKUP($G$32,$N$2:$P$16,3,0),0)</f>
        <v>0</v>
      </c>
      <c r="L32" s="366">
        <f t="shared" si="7"/>
        <v>0</v>
      </c>
      <c r="M32" s="254">
        <f t="shared" si="10"/>
        <v>0</v>
      </c>
      <c r="N32" s="521"/>
      <c r="O32" s="249"/>
      <c r="P32" s="249"/>
      <c r="Q32" s="251"/>
      <c r="R32" s="252"/>
      <c r="S32" s="252"/>
      <c r="T32"/>
      <c r="U32" s="252"/>
      <c r="V32" s="252"/>
      <c r="W32" s="252"/>
    </row>
    <row r="33" spans="1:23">
      <c r="A33" s="522"/>
      <c r="B33" s="523"/>
      <c r="C33" s="523"/>
      <c r="D33" s="162"/>
      <c r="E33" s="162"/>
      <c r="F33" s="162"/>
      <c r="G33" s="257" t="s">
        <v>1070</v>
      </c>
      <c r="H33" s="245">
        <f>(SUM(H23:H32))</f>
        <v>12942.707234297544</v>
      </c>
      <c r="I33" s="162"/>
      <c r="J33" s="162"/>
      <c r="K33" s="162"/>
      <c r="L33" s="162"/>
      <c r="M33" s="258">
        <f>SUM(M23:M32)</f>
        <v>16</v>
      </c>
      <c r="N33" s="262"/>
      <c r="O33"/>
      <c r="P33"/>
      <c r="Q33" s="371"/>
      <c r="R33"/>
      <c r="S33"/>
      <c r="T33"/>
      <c r="U33"/>
      <c r="V33" s="372"/>
      <c r="W33"/>
    </row>
    <row r="34" spans="1:23">
      <c r="A34" s="522"/>
      <c r="B34" s="523"/>
      <c r="C34" s="523"/>
      <c r="D34" s="162"/>
      <c r="E34" s="162"/>
      <c r="F34" s="162"/>
      <c r="G34" s="162"/>
      <c r="H34" s="260"/>
      <c r="I34" s="162"/>
      <c r="J34" s="162"/>
      <c r="K34" s="162"/>
      <c r="L34" s="162"/>
      <c r="M34" s="524"/>
      <c r="N34" s="262"/>
      <c r="O34"/>
      <c r="P34"/>
      <c r="Q34"/>
      <c r="R34"/>
      <c r="S34"/>
      <c r="T34"/>
      <c r="U34"/>
      <c r="V34"/>
      <c r="W34"/>
    </row>
    <row r="35" spans="1:23">
      <c r="A35" s="888" t="s">
        <v>1054</v>
      </c>
      <c r="B35" s="525" t="s">
        <v>1055</v>
      </c>
      <c r="C35" s="526" t="s">
        <v>1071</v>
      </c>
      <c r="D35" s="265" t="s">
        <v>1049</v>
      </c>
      <c r="E35" s="265" t="s">
        <v>1052</v>
      </c>
      <c r="F35" s="265" t="s">
        <v>1072</v>
      </c>
      <c r="G35" s="265" t="s">
        <v>1109</v>
      </c>
      <c r="H35" s="265" t="s">
        <v>1061</v>
      </c>
      <c r="I35" s="527" t="s">
        <v>1074</v>
      </c>
      <c r="J35" s="889" t="s">
        <v>1075</v>
      </c>
      <c r="K35" s="889"/>
      <c r="L35" s="889"/>
      <c r="M35" s="528" t="str">
        <f t="shared" ref="M35:M47" si="11">+M21</f>
        <v xml:space="preserve">No </v>
      </c>
      <c r="N35" s="262"/>
      <c r="O35"/>
      <c r="P35"/>
      <c r="Q35"/>
      <c r="R35"/>
      <c r="S35"/>
      <c r="T35"/>
      <c r="U35"/>
      <c r="V35"/>
      <c r="W35"/>
    </row>
    <row r="36" spans="1:23">
      <c r="A36" s="888"/>
      <c r="B36" s="529" t="s">
        <v>1028</v>
      </c>
      <c r="C36" s="530" t="s">
        <v>1028</v>
      </c>
      <c r="D36" s="235" t="s">
        <v>1028</v>
      </c>
      <c r="E36" s="235" t="s">
        <v>1036</v>
      </c>
      <c r="F36" s="235" t="s">
        <v>1036</v>
      </c>
      <c r="G36" s="235" t="s">
        <v>1036</v>
      </c>
      <c r="H36" s="235" t="s">
        <v>1076</v>
      </c>
      <c r="I36" s="235" t="s">
        <v>1036</v>
      </c>
      <c r="J36" s="235" t="s">
        <v>1066</v>
      </c>
      <c r="K36" s="235" t="s">
        <v>1067</v>
      </c>
      <c r="L36" s="235" t="s">
        <v>1068</v>
      </c>
      <c r="M36" s="268" t="str">
        <f t="shared" si="11"/>
        <v>Láminas</v>
      </c>
      <c r="N36" s="262"/>
      <c r="O36"/>
      <c r="P36"/>
      <c r="Q36"/>
      <c r="R36" s="184"/>
      <c r="S36" s="184"/>
      <c r="T36"/>
      <c r="U36"/>
      <c r="V36"/>
      <c r="W36"/>
    </row>
    <row r="37" spans="1:23">
      <c r="A37" s="531">
        <v>1</v>
      </c>
      <c r="B37" s="363">
        <f t="shared" ref="B37:B46" si="12">B23*0.3048</f>
        <v>1.8288000000000002</v>
      </c>
      <c r="C37" s="176">
        <f>C10</f>
        <v>6.4008000000000003</v>
      </c>
      <c r="D37" s="241">
        <f t="shared" ref="D37:D46" si="13">(4.9*$C$9*(C37-0.3)*$C$11)/$C$15+$C$12</f>
        <v>4.1669251928768567</v>
      </c>
      <c r="E37" s="241">
        <f>(4.9*C9*(C37-0.3))/C16</f>
        <v>0.88001568393690421</v>
      </c>
      <c r="F37" s="241">
        <f t="shared" ref="F37:G41" si="14">F23*25.4</f>
        <v>4.6779797430810452</v>
      </c>
      <c r="G37" s="241">
        <f t="shared" si="14"/>
        <v>6.35</v>
      </c>
      <c r="H37" s="245">
        <f t="shared" ref="H37:H46" si="15">+H23/2.20462</f>
        <v>1677.3486372510642</v>
      </c>
      <c r="I37" s="245">
        <f t="shared" ref="I37:I46" si="16">+I23*25.4</f>
        <v>4.0932322751959154</v>
      </c>
      <c r="J37" s="247">
        <f t="shared" ref="J37:L46" si="17">+J23*2.20462</f>
        <v>1225.1734726</v>
      </c>
      <c r="K37" s="247">
        <f t="shared" si="17"/>
        <v>0</v>
      </c>
      <c r="L37" s="273">
        <f t="shared" si="17"/>
        <v>1225.1734726</v>
      </c>
      <c r="M37" s="254">
        <f t="shared" si="11"/>
        <v>4</v>
      </c>
      <c r="N37"/>
      <c r="O37"/>
      <c r="P37"/>
      <c r="Q37" s="167" t="s">
        <v>1073</v>
      </c>
      <c r="R37" s="167" t="s">
        <v>1077</v>
      </c>
      <c r="S37" s="532"/>
      <c r="T37" s="237"/>
      <c r="U37" s="237"/>
      <c r="V37" s="237"/>
      <c r="W37" s="237"/>
    </row>
    <row r="38" spans="1:23">
      <c r="A38" s="531">
        <v>2</v>
      </c>
      <c r="B38" s="176">
        <f t="shared" si="12"/>
        <v>1.8288000000000002</v>
      </c>
      <c r="C38" s="176">
        <f t="shared" ref="C38:C46" si="18">IF(C37-B37&lt;0,0,C37-B37)</f>
        <v>4.5720000000000001</v>
      </c>
      <c r="D38" s="241">
        <f t="shared" si="13"/>
        <v>3.8695817636981928</v>
      </c>
      <c r="E38" s="241">
        <f>(4.9*C9*(C38-0.3))/C16</f>
        <v>0.61621869292198639</v>
      </c>
      <c r="F38" s="241">
        <f t="shared" si="14"/>
        <v>4.3461483201567317</v>
      </c>
      <c r="G38" s="241">
        <f t="shared" si="14"/>
        <v>6.35</v>
      </c>
      <c r="H38" s="245">
        <f t="shared" si="15"/>
        <v>1677.3486372510642</v>
      </c>
      <c r="I38" s="245">
        <f t="shared" si="16"/>
        <v>3.8028797801371401</v>
      </c>
      <c r="J38" s="247">
        <f t="shared" si="17"/>
        <v>1225.1734726</v>
      </c>
      <c r="K38" s="247">
        <f t="shared" si="17"/>
        <v>0</v>
      </c>
      <c r="L38" s="273">
        <f t="shared" si="17"/>
        <v>1225.1734726</v>
      </c>
      <c r="M38" s="254">
        <f t="shared" si="11"/>
        <v>4</v>
      </c>
      <c r="N38" s="274"/>
      <c r="O38"/>
      <c r="P38"/>
      <c r="Q38" s="275">
        <v>1E-3</v>
      </c>
      <c r="R38" s="276">
        <v>0.1875</v>
      </c>
      <c r="S38" s="533"/>
      <c r="T38"/>
      <c r="U38"/>
      <c r="V38"/>
      <c r="W38"/>
    </row>
    <row r="39" spans="1:23">
      <c r="A39" s="531">
        <v>3</v>
      </c>
      <c r="B39" s="176">
        <f t="shared" si="12"/>
        <v>1.8288000000000002</v>
      </c>
      <c r="C39" s="176">
        <f t="shared" si="18"/>
        <v>2.7431999999999999</v>
      </c>
      <c r="D39" s="241">
        <f t="shared" si="13"/>
        <v>3.5722383345195281</v>
      </c>
      <c r="E39" s="241">
        <f>(4.9*C9*(C39-0.3))/C16</f>
        <v>0.35242170190706862</v>
      </c>
      <c r="F39" s="241">
        <f t="shared" si="14"/>
        <v>4.0143168972324181</v>
      </c>
      <c r="G39" s="241">
        <f t="shared" si="14"/>
        <v>4.7624999999999993</v>
      </c>
      <c r="H39" s="245">
        <f t="shared" si="15"/>
        <v>1258.0114779382984</v>
      </c>
      <c r="I39" s="245">
        <f t="shared" si="16"/>
        <v>3.5125272850783662</v>
      </c>
      <c r="J39" s="247">
        <f t="shared" si="17"/>
        <v>914.91729999999995</v>
      </c>
      <c r="K39" s="247">
        <f t="shared" si="17"/>
        <v>0</v>
      </c>
      <c r="L39" s="273">
        <f t="shared" si="17"/>
        <v>914.91729999999995</v>
      </c>
      <c r="M39" s="254">
        <f t="shared" si="11"/>
        <v>4</v>
      </c>
      <c r="N39" s="274"/>
      <c r="O39"/>
      <c r="P39"/>
      <c r="Q39" s="275">
        <f t="shared" ref="Q39:Q63" si="19">Q38+0.001</f>
        <v>2E-3</v>
      </c>
      <c r="R39" s="276">
        <v>0.1875</v>
      </c>
      <c r="S39" s="533"/>
      <c r="T39"/>
      <c r="U39"/>
      <c r="V39"/>
      <c r="W39"/>
    </row>
    <row r="40" spans="1:23">
      <c r="A40" s="531">
        <v>4</v>
      </c>
      <c r="B40" s="176">
        <f t="shared" si="12"/>
        <v>1.8288000000000002</v>
      </c>
      <c r="C40" s="176">
        <f t="shared" si="18"/>
        <v>0.91439999999999966</v>
      </c>
      <c r="D40" s="241">
        <f t="shared" si="13"/>
        <v>3.2748949053408634</v>
      </c>
      <c r="E40" s="241">
        <f t="shared" ref="E40:E46" si="20">(4.9*$C$9*(C40-0.3))/$C$16</f>
        <v>8.8624710892150793E-2</v>
      </c>
      <c r="F40" s="241">
        <f t="shared" si="14"/>
        <v>3.682485474308105</v>
      </c>
      <c r="G40" s="241">
        <f t="shared" si="14"/>
        <v>4.7624999999999993</v>
      </c>
      <c r="H40" s="245">
        <f t="shared" si="15"/>
        <v>1258.0114779382984</v>
      </c>
      <c r="I40" s="245">
        <f t="shared" si="16"/>
        <v>3.2221747900195923</v>
      </c>
      <c r="J40" s="247">
        <f t="shared" si="17"/>
        <v>914.91729999999995</v>
      </c>
      <c r="K40" s="247">
        <f t="shared" si="17"/>
        <v>0</v>
      </c>
      <c r="L40" s="273">
        <f t="shared" si="17"/>
        <v>914.91729999999995</v>
      </c>
      <c r="M40" s="254">
        <f t="shared" si="11"/>
        <v>4</v>
      </c>
      <c r="N40" s="274"/>
      <c r="O40"/>
      <c r="P40"/>
      <c r="Q40" s="275">
        <f t="shared" si="19"/>
        <v>3.0000000000000001E-3</v>
      </c>
      <c r="R40" s="276">
        <v>0.1875</v>
      </c>
      <c r="S40" s="533"/>
      <c r="T40"/>
      <c r="U40"/>
      <c r="V40"/>
      <c r="W40"/>
    </row>
    <row r="41" spans="1:23">
      <c r="A41" s="531">
        <v>5</v>
      </c>
      <c r="B41" s="176">
        <f t="shared" si="12"/>
        <v>1.8288000000000002</v>
      </c>
      <c r="C41" s="176">
        <f t="shared" si="18"/>
        <v>0</v>
      </c>
      <c r="D41" s="241">
        <f t="shared" si="13"/>
        <v>3.1262231907515314</v>
      </c>
      <c r="E41" s="241">
        <f t="shared" si="20"/>
        <v>-4.3273784615308029E-2</v>
      </c>
      <c r="F41" s="241">
        <f t="shared" si="14"/>
        <v>0</v>
      </c>
      <c r="G41" s="241">
        <f t="shared" si="14"/>
        <v>0</v>
      </c>
      <c r="H41" s="245">
        <f t="shared" si="15"/>
        <v>0</v>
      </c>
      <c r="I41" s="245">
        <f t="shared" si="16"/>
        <v>0</v>
      </c>
      <c r="J41" s="247">
        <f t="shared" si="17"/>
        <v>0</v>
      </c>
      <c r="K41" s="247">
        <f t="shared" si="17"/>
        <v>0</v>
      </c>
      <c r="L41" s="273">
        <f t="shared" si="17"/>
        <v>0</v>
      </c>
      <c r="M41" s="254">
        <f t="shared" si="11"/>
        <v>0</v>
      </c>
      <c r="N41" s="274"/>
      <c r="O41"/>
      <c r="P41"/>
      <c r="Q41" s="275">
        <f t="shared" si="19"/>
        <v>4.0000000000000001E-3</v>
      </c>
      <c r="R41" s="276">
        <v>0.1875</v>
      </c>
      <c r="S41" s="533"/>
      <c r="T41"/>
      <c r="U41"/>
      <c r="V41"/>
      <c r="W41"/>
    </row>
    <row r="42" spans="1:23">
      <c r="A42" s="531">
        <v>6</v>
      </c>
      <c r="B42" s="176">
        <f t="shared" si="12"/>
        <v>1.8288000000000002</v>
      </c>
      <c r="C42" s="176">
        <f t="shared" si="18"/>
        <v>0</v>
      </c>
      <c r="D42" s="241">
        <f t="shared" si="13"/>
        <v>3.1262231907515314</v>
      </c>
      <c r="E42" s="241">
        <f t="shared" si="20"/>
        <v>-4.3273784615308029E-2</v>
      </c>
      <c r="F42" s="241">
        <f>F28*25.4</f>
        <v>0</v>
      </c>
      <c r="G42" s="241">
        <f>G27*25.4</f>
        <v>0</v>
      </c>
      <c r="H42" s="245">
        <f t="shared" si="15"/>
        <v>0</v>
      </c>
      <c r="I42" s="245">
        <f t="shared" si="16"/>
        <v>0</v>
      </c>
      <c r="J42" s="247">
        <f t="shared" si="17"/>
        <v>0</v>
      </c>
      <c r="K42" s="247">
        <f t="shared" si="17"/>
        <v>0</v>
      </c>
      <c r="L42" s="273">
        <f t="shared" si="17"/>
        <v>0</v>
      </c>
      <c r="M42" s="254">
        <f t="shared" si="11"/>
        <v>0</v>
      </c>
      <c r="N42" s="274"/>
      <c r="O42"/>
      <c r="P42"/>
      <c r="Q42" s="275">
        <f t="shared" si="19"/>
        <v>5.0000000000000001E-3</v>
      </c>
      <c r="R42" s="276">
        <v>0.1875</v>
      </c>
      <c r="S42" s="533"/>
      <c r="T42"/>
      <c r="U42"/>
      <c r="V42"/>
      <c r="W42"/>
    </row>
    <row r="43" spans="1:23">
      <c r="A43" s="531">
        <v>7</v>
      </c>
      <c r="B43" s="176">
        <f t="shared" si="12"/>
        <v>1.8288000000000002</v>
      </c>
      <c r="C43" s="176">
        <f t="shared" si="18"/>
        <v>0</v>
      </c>
      <c r="D43" s="241">
        <f t="shared" si="13"/>
        <v>3.1262231907515314</v>
      </c>
      <c r="E43" s="241">
        <f t="shared" si="20"/>
        <v>-4.3273784615308029E-2</v>
      </c>
      <c r="F43" s="241">
        <f>F29*25.4</f>
        <v>0</v>
      </c>
      <c r="G43" s="241">
        <f>G29*25.4</f>
        <v>0</v>
      </c>
      <c r="H43" s="245">
        <f t="shared" si="15"/>
        <v>0</v>
      </c>
      <c r="I43" s="245">
        <f t="shared" si="16"/>
        <v>0</v>
      </c>
      <c r="J43" s="247">
        <f t="shared" si="17"/>
        <v>0</v>
      </c>
      <c r="K43" s="247">
        <f t="shared" si="17"/>
        <v>0</v>
      </c>
      <c r="L43" s="273">
        <f t="shared" si="17"/>
        <v>0</v>
      </c>
      <c r="M43" s="254">
        <f t="shared" si="11"/>
        <v>0</v>
      </c>
      <c r="N43" s="274"/>
      <c r="O43"/>
      <c r="P43"/>
      <c r="Q43" s="275">
        <f t="shared" si="19"/>
        <v>6.0000000000000001E-3</v>
      </c>
      <c r="R43" s="276">
        <v>0.1875</v>
      </c>
      <c r="S43" s="533"/>
      <c r="T43"/>
      <c r="U43"/>
      <c r="V43"/>
      <c r="W43"/>
    </row>
    <row r="44" spans="1:23">
      <c r="A44" s="531">
        <v>8</v>
      </c>
      <c r="B44" s="176">
        <f t="shared" si="12"/>
        <v>1.8288000000000002</v>
      </c>
      <c r="C44" s="176">
        <f t="shared" si="18"/>
        <v>0</v>
      </c>
      <c r="D44" s="241">
        <f t="shared" si="13"/>
        <v>3.1262231907515314</v>
      </c>
      <c r="E44" s="241">
        <f t="shared" si="20"/>
        <v>-4.3273784615308029E-2</v>
      </c>
      <c r="F44" s="241">
        <f>F30*25.4</f>
        <v>0</v>
      </c>
      <c r="G44" s="241">
        <f>G30*25.4</f>
        <v>0</v>
      </c>
      <c r="H44" s="245">
        <f t="shared" si="15"/>
        <v>0</v>
      </c>
      <c r="I44" s="245">
        <f t="shared" si="16"/>
        <v>0</v>
      </c>
      <c r="J44" s="247">
        <f t="shared" si="17"/>
        <v>0</v>
      </c>
      <c r="K44" s="247">
        <f t="shared" si="17"/>
        <v>0</v>
      </c>
      <c r="L44" s="273">
        <f t="shared" si="17"/>
        <v>0</v>
      </c>
      <c r="M44" s="254">
        <f t="shared" si="11"/>
        <v>0</v>
      </c>
      <c r="N44" s="274"/>
      <c r="O44"/>
      <c r="P44"/>
      <c r="Q44" s="275">
        <f t="shared" si="19"/>
        <v>7.0000000000000001E-3</v>
      </c>
      <c r="R44" s="276">
        <v>0.1875</v>
      </c>
      <c r="S44" s="533"/>
      <c r="T44"/>
      <c r="U44"/>
      <c r="V44"/>
      <c r="W44"/>
    </row>
    <row r="45" spans="1:23">
      <c r="A45" s="531">
        <v>9</v>
      </c>
      <c r="B45" s="176">
        <f t="shared" si="12"/>
        <v>1.8288000000000002</v>
      </c>
      <c r="C45" s="176">
        <f t="shared" si="18"/>
        <v>0</v>
      </c>
      <c r="D45" s="241">
        <f t="shared" si="13"/>
        <v>3.1262231907515314</v>
      </c>
      <c r="E45" s="241">
        <f t="shared" si="20"/>
        <v>-4.3273784615308029E-2</v>
      </c>
      <c r="F45" s="241">
        <f>F31*25.4</f>
        <v>0</v>
      </c>
      <c r="G45" s="241">
        <f>G31*25.4</f>
        <v>0</v>
      </c>
      <c r="H45" s="245">
        <f t="shared" si="15"/>
        <v>0</v>
      </c>
      <c r="I45" s="245">
        <f t="shared" si="16"/>
        <v>0</v>
      </c>
      <c r="J45" s="247">
        <f t="shared" si="17"/>
        <v>0</v>
      </c>
      <c r="K45" s="247">
        <f t="shared" si="17"/>
        <v>0</v>
      </c>
      <c r="L45" s="273">
        <f t="shared" si="17"/>
        <v>0</v>
      </c>
      <c r="M45" s="254">
        <f t="shared" si="11"/>
        <v>0</v>
      </c>
      <c r="N45" s="274"/>
      <c r="O45"/>
      <c r="P45"/>
      <c r="Q45" s="275">
        <f t="shared" si="19"/>
        <v>8.0000000000000002E-3</v>
      </c>
      <c r="R45" s="276">
        <v>0.1875</v>
      </c>
      <c r="S45" s="533"/>
      <c r="T45"/>
      <c r="U45"/>
      <c r="V45"/>
      <c r="W45"/>
    </row>
    <row r="46" spans="1:23">
      <c r="A46" s="531">
        <v>10</v>
      </c>
      <c r="B46" s="176">
        <f t="shared" si="12"/>
        <v>1.8288000000000002</v>
      </c>
      <c r="C46" s="176">
        <f t="shared" si="18"/>
        <v>0</v>
      </c>
      <c r="D46" s="241">
        <f t="shared" si="13"/>
        <v>3.1262231907515314</v>
      </c>
      <c r="E46" s="241">
        <f t="shared" si="20"/>
        <v>-4.3273784615308029E-2</v>
      </c>
      <c r="F46" s="241">
        <f>F32*25.4</f>
        <v>0</v>
      </c>
      <c r="G46" s="241">
        <f>G32*25.4</f>
        <v>0</v>
      </c>
      <c r="H46" s="245">
        <f t="shared" si="15"/>
        <v>0</v>
      </c>
      <c r="I46" s="245">
        <f t="shared" si="16"/>
        <v>0</v>
      </c>
      <c r="J46" s="247">
        <f t="shared" si="17"/>
        <v>0</v>
      </c>
      <c r="K46" s="247">
        <f t="shared" si="17"/>
        <v>0</v>
      </c>
      <c r="L46" s="273">
        <f t="shared" si="17"/>
        <v>0</v>
      </c>
      <c r="M46" s="254">
        <f t="shared" si="11"/>
        <v>0</v>
      </c>
      <c r="N46" s="274"/>
      <c r="O46"/>
      <c r="P46"/>
      <c r="Q46" s="275">
        <f t="shared" si="19"/>
        <v>9.0000000000000011E-3</v>
      </c>
      <c r="R46" s="276">
        <v>0.1875</v>
      </c>
      <c r="S46" s="533"/>
      <c r="T46"/>
      <c r="U46"/>
      <c r="V46"/>
      <c r="W46"/>
    </row>
    <row r="47" spans="1:23">
      <c r="A47" s="277"/>
      <c r="B47" s="278"/>
      <c r="C47" s="278"/>
      <c r="D47" s="279"/>
      <c r="E47" s="279"/>
      <c r="F47" s="279"/>
      <c r="G47" s="280" t="s">
        <v>1070</v>
      </c>
      <c r="H47" s="281">
        <f>(SUM(H37:H46))*1.05</f>
        <v>6164.2562418976622</v>
      </c>
      <c r="I47" s="282"/>
      <c r="J47" s="282"/>
      <c r="K47" s="282"/>
      <c r="L47" s="282"/>
      <c r="M47" s="283">
        <f t="shared" si="11"/>
        <v>16</v>
      </c>
      <c r="N47" s="274"/>
      <c r="O47"/>
      <c r="P47"/>
      <c r="Q47" s="275">
        <f t="shared" si="19"/>
        <v>1.0000000000000002E-2</v>
      </c>
      <c r="R47" s="276">
        <v>0.1875</v>
      </c>
      <c r="S47" s="533"/>
      <c r="T47"/>
      <c r="U47"/>
      <c r="V47"/>
      <c r="W47"/>
    </row>
    <row r="48" spans="1:23">
      <c r="A48" s="260"/>
      <c r="B48" s="260"/>
      <c r="C48" s="260"/>
      <c r="D48" s="284"/>
      <c r="E48" s="284"/>
      <c r="F48" s="284"/>
      <c r="G48" s="162"/>
      <c r="H48" s="162"/>
      <c r="I48" s="162"/>
      <c r="J48" s="285"/>
      <c r="K48"/>
      <c r="L48"/>
      <c r="M48"/>
      <c r="N48" s="274"/>
      <c r="O48"/>
      <c r="P48"/>
      <c r="Q48" s="275">
        <f t="shared" si="19"/>
        <v>1.1000000000000003E-2</v>
      </c>
      <c r="R48" s="276">
        <v>0.1875</v>
      </c>
      <c r="S48" s="533"/>
      <c r="T48"/>
      <c r="U48"/>
      <c r="V48"/>
      <c r="W48"/>
    </row>
    <row r="49" spans="6:23">
      <c r="F49" s="534" t="s">
        <v>1078</v>
      </c>
      <c r="G49" s="377"/>
      <c r="H49" s="377"/>
      <c r="I49" s="377"/>
      <c r="J49" s="378"/>
      <c r="K49"/>
      <c r="L49"/>
      <c r="M49"/>
      <c r="N49" s="274"/>
      <c r="O49"/>
      <c r="P49"/>
      <c r="Q49" s="275">
        <f t="shared" si="19"/>
        <v>1.2000000000000004E-2</v>
      </c>
      <c r="R49" s="276">
        <v>0.1875</v>
      </c>
      <c r="S49" s="533"/>
      <c r="T49"/>
      <c r="U49"/>
      <c r="V49"/>
      <c r="W49"/>
    </row>
    <row r="50" spans="6:23">
      <c r="F50" s="267"/>
      <c r="G50" s="857" t="s">
        <v>1024</v>
      </c>
      <c r="H50" s="857"/>
      <c r="I50" s="857" t="s">
        <v>1025</v>
      </c>
      <c r="J50" s="857"/>
      <c r="K50"/>
      <c r="L50"/>
      <c r="M50"/>
      <c r="N50" s="274"/>
      <c r="O50"/>
      <c r="P50"/>
      <c r="Q50" s="275">
        <f t="shared" si="19"/>
        <v>1.3000000000000005E-2</v>
      </c>
      <c r="R50" s="276">
        <v>0.1875</v>
      </c>
      <c r="S50" s="533"/>
      <c r="T50"/>
      <c r="U50"/>
      <c r="V50"/>
      <c r="W50"/>
    </row>
    <row r="51" spans="6:23">
      <c r="F51" s="535" t="s">
        <v>1079</v>
      </c>
      <c r="G51" s="536">
        <v>0.375</v>
      </c>
      <c r="H51" s="174" t="s">
        <v>1040</v>
      </c>
      <c r="I51" s="187">
        <f>G51*25.4</f>
        <v>9.5249999999999986</v>
      </c>
      <c r="J51" s="204" t="s">
        <v>1036</v>
      </c>
      <c r="K51"/>
      <c r="L51"/>
      <c r="M51"/>
      <c r="N51" s="274"/>
      <c r="O51"/>
      <c r="P51"/>
      <c r="Q51" s="275">
        <f t="shared" si="19"/>
        <v>1.4000000000000005E-2</v>
      </c>
      <c r="R51" s="276">
        <v>0.1875</v>
      </c>
      <c r="S51" s="533"/>
      <c r="T51"/>
      <c r="U51"/>
      <c r="V51"/>
      <c r="W51"/>
    </row>
    <row r="52" spans="6:23">
      <c r="F52" s="537" t="s">
        <v>1080</v>
      </c>
      <c r="G52" s="538">
        <f>G51+E12</f>
        <v>0.5</v>
      </c>
      <c r="H52" s="212" t="s">
        <v>1040</v>
      </c>
      <c r="I52" s="297">
        <f>G52*25.4</f>
        <v>12.7</v>
      </c>
      <c r="J52" s="174" t="s">
        <v>1036</v>
      </c>
      <c r="K52"/>
      <c r="L52"/>
      <c r="M52"/>
      <c r="N52" s="274"/>
      <c r="O52"/>
      <c r="P52"/>
      <c r="Q52" s="275">
        <f t="shared" si="19"/>
        <v>1.5000000000000006E-2</v>
      </c>
      <c r="R52" s="276">
        <v>0.1875</v>
      </c>
      <c r="S52" s="533"/>
      <c r="T52"/>
      <c r="U52"/>
      <c r="V52"/>
      <c r="W52"/>
    </row>
    <row r="53" spans="6:23">
      <c r="F53" s="537" t="s">
        <v>1081</v>
      </c>
      <c r="G53" s="536">
        <v>0.5</v>
      </c>
      <c r="H53" s="299" t="s">
        <v>1040</v>
      </c>
      <c r="I53" s="297">
        <f>G53*25.4</f>
        <v>12.7</v>
      </c>
      <c r="J53" s="174" t="s">
        <v>1036</v>
      </c>
      <c r="K53"/>
      <c r="L53"/>
      <c r="M53"/>
      <c r="N53" s="274"/>
      <c r="O53"/>
      <c r="P53"/>
      <c r="Q53" s="275">
        <f t="shared" si="19"/>
        <v>1.6000000000000007E-2</v>
      </c>
      <c r="R53" s="276">
        <v>0.1875</v>
      </c>
      <c r="S53" s="533"/>
      <c r="T53"/>
      <c r="U53"/>
      <c r="V53"/>
      <c r="W53"/>
    </row>
    <row r="54" spans="6:23">
      <c r="F54" s="885" t="s">
        <v>1082</v>
      </c>
      <c r="G54" s="885"/>
      <c r="H54" s="173">
        <f>TANH(1/120)*180/PI()</f>
        <v>0.47745377715608556</v>
      </c>
      <c r="I54" s="886" t="s">
        <v>1083</v>
      </c>
      <c r="J54" s="886"/>
      <c r="K54"/>
      <c r="L54"/>
      <c r="M54"/>
      <c r="N54" s="274"/>
      <c r="O54"/>
      <c r="P54"/>
      <c r="Q54" s="275">
        <f t="shared" si="19"/>
        <v>1.7000000000000008E-2</v>
      </c>
      <c r="R54" s="276">
        <v>0.1875</v>
      </c>
      <c r="S54" s="533"/>
      <c r="T54"/>
      <c r="U54"/>
      <c r="V54"/>
      <c r="W54"/>
    </row>
    <row r="55" spans="6:23">
      <c r="F55" s="167" t="s">
        <v>1084</v>
      </c>
      <c r="G55" s="303">
        <v>7850</v>
      </c>
      <c r="H55" s="183" t="s">
        <v>1085</v>
      </c>
      <c r="I55" s="303">
        <v>500</v>
      </c>
      <c r="J55" s="183" t="s">
        <v>1086</v>
      </c>
      <c r="K55"/>
      <c r="L55"/>
      <c r="M55"/>
      <c r="N55" s="274"/>
      <c r="O55"/>
      <c r="P55"/>
      <c r="Q55" s="275">
        <f t="shared" si="19"/>
        <v>1.8000000000000009E-2</v>
      </c>
      <c r="R55" s="276">
        <v>0.1875</v>
      </c>
      <c r="S55" s="533"/>
      <c r="T55"/>
      <c r="U55"/>
      <c r="V55"/>
      <c r="W55"/>
    </row>
    <row r="56" spans="6:23">
      <c r="F56" s="539" t="s">
        <v>1087</v>
      </c>
      <c r="G56" s="309" t="s">
        <v>1088</v>
      </c>
      <c r="H56" s="174" t="s">
        <v>1028</v>
      </c>
      <c r="I56" s="304">
        <f>(I58^2-I57^2)^0.5</f>
        <v>8.2638888862229448E-2</v>
      </c>
      <c r="J56" s="174" t="s">
        <v>1029</v>
      </c>
      <c r="K56"/>
      <c r="L56"/>
      <c r="M56"/>
      <c r="N56" s="274"/>
      <c r="O56"/>
      <c r="P56"/>
      <c r="Q56" s="275">
        <f t="shared" si="19"/>
        <v>1.900000000000001E-2</v>
      </c>
      <c r="R56" s="276">
        <v>0.1875</v>
      </c>
      <c r="S56" s="533"/>
      <c r="T56"/>
      <c r="U56"/>
      <c r="V56"/>
      <c r="W56"/>
    </row>
    <row r="57" spans="6:23">
      <c r="F57" s="539" t="s">
        <v>1089</v>
      </c>
      <c r="G57" s="306">
        <f>I57*0.3048</f>
        <v>3.0225999999949202</v>
      </c>
      <c r="H57" s="307" t="s">
        <v>1028</v>
      </c>
      <c r="I57" s="306">
        <f>E9/2+0.5</f>
        <v>9.9166666666500003</v>
      </c>
      <c r="J57" s="183" t="s">
        <v>1029</v>
      </c>
      <c r="K57"/>
      <c r="L57"/>
      <c r="M57"/>
      <c r="N57" s="274"/>
      <c r="O57"/>
      <c r="P57"/>
      <c r="Q57" s="275">
        <f t="shared" si="19"/>
        <v>2.0000000000000011E-2</v>
      </c>
      <c r="R57" s="276">
        <v>0.1875</v>
      </c>
      <c r="S57" s="533"/>
      <c r="T57"/>
      <c r="U57"/>
      <c r="V57"/>
      <c r="W57"/>
    </row>
    <row r="58" spans="6:23">
      <c r="F58" s="539" t="s">
        <v>1088</v>
      </c>
      <c r="G58" s="304">
        <f>G57/(COS(H54*PI()/180))</f>
        <v>3.022704949561732</v>
      </c>
      <c r="H58" s="308" t="s">
        <v>1028</v>
      </c>
      <c r="I58" s="304">
        <f>G58/0.3048</f>
        <v>9.9170109893757612</v>
      </c>
      <c r="J58" s="174" t="s">
        <v>1029</v>
      </c>
      <c r="K58"/>
      <c r="L58" s="540"/>
      <c r="M58"/>
      <c r="N58" s="274"/>
      <c r="O58"/>
      <c r="P58"/>
      <c r="Q58" s="275">
        <f t="shared" si="19"/>
        <v>2.1000000000000012E-2</v>
      </c>
      <c r="R58" s="276">
        <v>0.1875</v>
      </c>
      <c r="S58" s="533"/>
      <c r="T58"/>
      <c r="U58"/>
      <c r="V58"/>
      <c r="W58"/>
    </row>
    <row r="59" spans="6:23">
      <c r="F59" s="539" t="s">
        <v>1090</v>
      </c>
      <c r="G59" s="306">
        <f>(PI()*G58^2)</f>
        <v>28.703931636070759</v>
      </c>
      <c r="H59" s="307" t="s">
        <v>1091</v>
      </c>
      <c r="I59" s="306">
        <f>((PI()*I58^2))</f>
        <v>308.96654873802578</v>
      </c>
      <c r="J59" s="183" t="s">
        <v>1092</v>
      </c>
      <c r="K59"/>
      <c r="L59" s="56"/>
      <c r="M59" s="541"/>
      <c r="N59" s="274"/>
      <c r="O59"/>
      <c r="P59"/>
      <c r="Q59" s="275">
        <f t="shared" si="19"/>
        <v>2.2000000000000013E-2</v>
      </c>
      <c r="R59" s="276">
        <v>0.1875</v>
      </c>
      <c r="S59" s="533"/>
      <c r="T59"/>
      <c r="U59"/>
      <c r="V59"/>
      <c r="W59"/>
    </row>
    <row r="60" spans="6:23">
      <c r="F60" s="539" t="s">
        <v>1093</v>
      </c>
      <c r="G60" s="310">
        <f>I53</f>
        <v>12.7</v>
      </c>
      <c r="H60" s="308" t="s">
        <v>1036</v>
      </c>
      <c r="I60" s="311">
        <f>G52</f>
        <v>0.5</v>
      </c>
      <c r="J60" s="174" t="s">
        <v>1040</v>
      </c>
      <c r="K60"/>
      <c r="L60"/>
      <c r="M60"/>
      <c r="N60" s="274"/>
      <c r="O60"/>
      <c r="P60"/>
      <c r="Q60" s="275">
        <f t="shared" si="19"/>
        <v>2.3000000000000013E-2</v>
      </c>
      <c r="R60" s="276">
        <v>0.1875</v>
      </c>
      <c r="S60" s="533"/>
      <c r="T60"/>
      <c r="U60"/>
      <c r="V60"/>
      <c r="W60"/>
    </row>
    <row r="61" spans="6:23">
      <c r="F61" s="539" t="s">
        <v>1094</v>
      </c>
      <c r="G61" s="304">
        <f>G59*G60/1000</f>
        <v>0.36453993177809862</v>
      </c>
      <c r="H61" s="308" t="s">
        <v>1020</v>
      </c>
      <c r="I61" s="304">
        <f>I59*I60/12</f>
        <v>12.873606197417741</v>
      </c>
      <c r="J61" s="174" t="s">
        <v>1095</v>
      </c>
      <c r="K61"/>
      <c r="L61"/>
      <c r="M61"/>
      <c r="N61" s="274"/>
      <c r="O61"/>
      <c r="P61"/>
      <c r="Q61" s="275">
        <f t="shared" si="19"/>
        <v>2.4000000000000014E-2</v>
      </c>
      <c r="R61" s="276">
        <v>0.1875</v>
      </c>
      <c r="S61" s="533"/>
      <c r="T61"/>
      <c r="U61"/>
      <c r="V61"/>
      <c r="W61"/>
    </row>
    <row r="62" spans="6:23">
      <c r="F62" s="542" t="s">
        <v>1096</v>
      </c>
      <c r="G62" s="314">
        <f>+I62</f>
        <v>2.9</v>
      </c>
      <c r="H62" s="315"/>
      <c r="I62" s="314">
        <f>ROUNDUP((I59/(IF(B23=6,(6*20),(8*20))))*1.1,1)</f>
        <v>2.9</v>
      </c>
      <c r="J62" s="204"/>
      <c r="K62"/>
      <c r="L62"/>
      <c r="M62"/>
      <c r="N62" s="274"/>
      <c r="O62"/>
      <c r="P62"/>
      <c r="Q62" s="275">
        <f t="shared" si="19"/>
        <v>2.5000000000000015E-2</v>
      </c>
      <c r="R62" s="276">
        <v>0.1875</v>
      </c>
      <c r="S62" s="533"/>
      <c r="T62"/>
      <c r="U62"/>
      <c r="V62"/>
      <c r="W62"/>
    </row>
    <row r="63" spans="6:23">
      <c r="F63" s="543" t="s">
        <v>1097</v>
      </c>
      <c r="G63" s="418">
        <f>(G61*G55)*1.05</f>
        <v>3004.7203876809781</v>
      </c>
      <c r="H63" s="308" t="s">
        <v>1076</v>
      </c>
      <c r="I63" s="304">
        <f>(I61*I55)*1.1</f>
        <v>7080.4834085797584</v>
      </c>
      <c r="J63" s="174" t="s">
        <v>1098</v>
      </c>
      <c r="K63"/>
      <c r="L63" s="81"/>
      <c r="M63"/>
      <c r="N63" s="274"/>
      <c r="O63"/>
      <c r="P63"/>
      <c r="Q63" s="275">
        <f t="shared" si="19"/>
        <v>2.6000000000000016E-2</v>
      </c>
      <c r="R63" s="276">
        <v>0.1875</v>
      </c>
      <c r="S63" s="533"/>
      <c r="T63"/>
      <c r="U63"/>
      <c r="V63"/>
      <c r="W63"/>
    </row>
    <row r="64" spans="6:23" ht="27" customHeight="1"/>
    <row r="65" spans="1:23" ht="35.25" customHeight="1">
      <c r="A65" s="544"/>
      <c r="B65" s="545"/>
      <c r="C65" s="545"/>
      <c r="D65" s="883"/>
      <c r="E65" s="883"/>
      <c r="F65" s="332"/>
      <c r="G65" s="234"/>
      <c r="H65" s="234"/>
      <c r="I65" s="234"/>
      <c r="J65" s="237"/>
      <c r="K65"/>
      <c r="L65" s="184"/>
      <c r="M65"/>
      <c r="N65" s="274"/>
      <c r="O65"/>
      <c r="P65"/>
      <c r="Q65" s="275">
        <f t="shared" ref="Q65:Q128" si="21">Q64+0.001</f>
        <v>1E-3</v>
      </c>
      <c r="R65" s="276">
        <v>0.1875</v>
      </c>
      <c r="S65" s="533"/>
      <c r="T65"/>
      <c r="U65"/>
      <c r="V65"/>
      <c r="W65"/>
    </row>
    <row r="66" spans="1:23" ht="39.75" customHeight="1">
      <c r="A66" s="544"/>
      <c r="B66" s="545"/>
      <c r="C66" s="545"/>
      <c r="D66" s="883"/>
      <c r="E66" s="883"/>
      <c r="F66" s="421"/>
      <c r="G66" s="249"/>
      <c r="H66" s="335"/>
      <c r="I66" s="249"/>
      <c r="J66" s="338"/>
      <c r="K66"/>
      <c r="L66" s="184"/>
      <c r="M66"/>
      <c r="N66" s="274"/>
      <c r="O66" s="540"/>
      <c r="P66"/>
      <c r="Q66" s="275">
        <f t="shared" si="21"/>
        <v>2E-3</v>
      </c>
      <c r="R66" s="276">
        <v>0.1875</v>
      </c>
      <c r="S66" s="533"/>
      <c r="T66"/>
      <c r="U66"/>
      <c r="V66"/>
      <c r="W66"/>
    </row>
    <row r="67" spans="1:23" ht="48" customHeight="1">
      <c r="A67" s="544"/>
      <c r="B67" s="545"/>
      <c r="C67" s="545"/>
      <c r="D67" s="883"/>
      <c r="E67" s="883"/>
      <c r="F67" s="332"/>
      <c r="G67" s="234"/>
      <c r="H67" s="234"/>
      <c r="I67" s="234"/>
      <c r="J67" s="237"/>
      <c r="K67"/>
      <c r="L67"/>
      <c r="M67"/>
      <c r="N67" s="274"/>
      <c r="O67"/>
      <c r="P67"/>
      <c r="Q67" s="275">
        <f t="shared" si="21"/>
        <v>3.0000000000000001E-3</v>
      </c>
      <c r="R67" s="276">
        <v>0.1875</v>
      </c>
      <c r="S67" s="533"/>
      <c r="T67"/>
      <c r="U67"/>
      <c r="V67"/>
      <c r="W67"/>
    </row>
    <row r="68" spans="1:23">
      <c r="A68" s="884"/>
      <c r="B68" s="884"/>
      <c r="C68" s="884"/>
      <c r="D68" s="546"/>
      <c r="E68" s="546"/>
      <c r="F68" s="421"/>
      <c r="G68" s="337"/>
      <c r="H68" s="335"/>
      <c r="I68" s="249"/>
      <c r="J68" s="338"/>
      <c r="K68"/>
      <c r="L68"/>
      <c r="M68"/>
      <c r="N68" s="274"/>
      <c r="O68"/>
      <c r="P68"/>
      <c r="Q68" s="275">
        <f t="shared" si="21"/>
        <v>4.0000000000000001E-3</v>
      </c>
      <c r="R68" s="276">
        <v>0.1875</v>
      </c>
      <c r="S68" s="533"/>
      <c r="T68"/>
      <c r="U68"/>
      <c r="V68"/>
      <c r="W68"/>
    </row>
    <row r="69" spans="1:23" ht="22.5" customHeight="1">
      <c r="A69" s="547"/>
      <c r="B69" s="547"/>
      <c r="C69" s="547"/>
      <c r="D69" s="547"/>
      <c r="E69" s="547"/>
      <c r="F69" s="421"/>
      <c r="G69" s="250"/>
      <c r="H69" s="339"/>
      <c r="I69" s="249"/>
      <c r="J69" s="338"/>
      <c r="K69"/>
      <c r="L69"/>
      <c r="M69"/>
      <c r="N69" s="274"/>
      <c r="O69"/>
      <c r="P69"/>
      <c r="Q69" s="275">
        <f t="shared" si="21"/>
        <v>5.0000000000000001E-3</v>
      </c>
      <c r="R69" s="276">
        <v>0.1875</v>
      </c>
      <c r="S69" s="533"/>
      <c r="T69"/>
      <c r="U69"/>
      <c r="V69"/>
      <c r="W69"/>
    </row>
    <row r="70" spans="1:23" ht="26.25" customHeight="1">
      <c r="A70" s="548"/>
      <c r="N70" s="274"/>
      <c r="O70"/>
      <c r="P70"/>
      <c r="Q70" s="275">
        <f t="shared" si="21"/>
        <v>6.0000000000000001E-3</v>
      </c>
      <c r="R70" s="276">
        <v>0.1875</v>
      </c>
      <c r="S70" s="533"/>
      <c r="T70"/>
      <c r="U70"/>
      <c r="V70"/>
      <c r="W70"/>
    </row>
    <row r="71" spans="1:23" ht="25.5" customHeight="1">
      <c r="A71" s="548"/>
      <c r="F71" s="549"/>
      <c r="G71" s="549"/>
      <c r="H71" s="549"/>
      <c r="I71" s="549"/>
      <c r="J71" s="549"/>
      <c r="N71" s="274"/>
      <c r="O71"/>
      <c r="P71"/>
      <c r="Q71" s="275">
        <f t="shared" si="21"/>
        <v>7.0000000000000001E-3</v>
      </c>
      <c r="R71" s="276">
        <v>0.1875</v>
      </c>
      <c r="S71" s="533"/>
      <c r="T71"/>
      <c r="U71"/>
      <c r="V71"/>
      <c r="W71"/>
    </row>
    <row r="72" spans="1:23">
      <c r="A72" s="550"/>
      <c r="H72" s="551"/>
      <c r="N72" s="274"/>
      <c r="O72"/>
      <c r="P72"/>
      <c r="Q72" s="275">
        <f t="shared" si="21"/>
        <v>8.0000000000000002E-3</v>
      </c>
      <c r="R72" s="276">
        <v>0.1875</v>
      </c>
      <c r="S72" s="533"/>
      <c r="T72"/>
      <c r="U72"/>
      <c r="V72"/>
      <c r="W72"/>
    </row>
    <row r="73" spans="1:23" ht="13.5" customHeight="1">
      <c r="J73" s="214"/>
      <c r="N73" s="274"/>
      <c r="O73"/>
      <c r="P73"/>
      <c r="Q73" s="275">
        <f t="shared" si="21"/>
        <v>9.0000000000000011E-3</v>
      </c>
      <c r="R73" s="276">
        <v>0.1875</v>
      </c>
      <c r="S73" s="533"/>
      <c r="T73"/>
      <c r="U73"/>
      <c r="V73"/>
      <c r="W73"/>
    </row>
    <row r="74" spans="1:23">
      <c r="J74" s="214"/>
      <c r="N74" s="274"/>
      <c r="O74"/>
      <c r="P74"/>
      <c r="Q74" s="275">
        <f t="shared" si="21"/>
        <v>1.0000000000000002E-2</v>
      </c>
      <c r="R74" s="276">
        <v>0.1875</v>
      </c>
      <c r="S74" s="533"/>
      <c r="T74"/>
      <c r="U74"/>
      <c r="V74"/>
      <c r="W74"/>
    </row>
    <row r="75" spans="1:23">
      <c r="J75" s="214"/>
      <c r="N75" s="274"/>
      <c r="O75"/>
      <c r="P75"/>
      <c r="Q75" s="275">
        <f t="shared" si="21"/>
        <v>1.1000000000000003E-2</v>
      </c>
      <c r="R75" s="276">
        <v>0.1875</v>
      </c>
      <c r="S75" s="533"/>
      <c r="T75"/>
      <c r="U75"/>
      <c r="V75"/>
      <c r="W75"/>
    </row>
    <row r="76" spans="1:23">
      <c r="N76"/>
      <c r="O76" s="274"/>
      <c r="P76"/>
      <c r="Q76" s="275">
        <f t="shared" si="21"/>
        <v>1.2000000000000004E-2</v>
      </c>
      <c r="R76" s="276">
        <v>0.1875</v>
      </c>
      <c r="S76" s="533"/>
      <c r="T76"/>
      <c r="U76"/>
      <c r="V76"/>
      <c r="W76"/>
    </row>
    <row r="77" spans="1:23">
      <c r="N77"/>
      <c r="O77" s="274"/>
      <c r="P77"/>
      <c r="Q77" s="275">
        <f t="shared" si="21"/>
        <v>1.3000000000000005E-2</v>
      </c>
      <c r="R77" s="276">
        <v>0.1875</v>
      </c>
      <c r="S77" s="533"/>
      <c r="T77"/>
      <c r="U77"/>
      <c r="V77"/>
      <c r="W77"/>
    </row>
    <row r="78" spans="1:23">
      <c r="C78" s="214"/>
      <c r="D78" s="214"/>
      <c r="E78" s="214"/>
      <c r="N78"/>
      <c r="O78" s="274"/>
      <c r="P78"/>
      <c r="Q78" s="275">
        <f t="shared" si="21"/>
        <v>1.4000000000000005E-2</v>
      </c>
      <c r="R78" s="276">
        <v>0.1875</v>
      </c>
      <c r="S78" s="533"/>
      <c r="T78"/>
      <c r="U78"/>
      <c r="V78"/>
      <c r="W78"/>
    </row>
    <row r="79" spans="1:23">
      <c r="C79" s="214"/>
      <c r="N79"/>
      <c r="O79" s="274"/>
      <c r="P79"/>
      <c r="Q79" s="275">
        <f t="shared" si="21"/>
        <v>1.5000000000000006E-2</v>
      </c>
      <c r="R79" s="276">
        <v>0.1875</v>
      </c>
      <c r="S79" s="533"/>
      <c r="T79"/>
      <c r="U79"/>
      <c r="V79"/>
      <c r="W79"/>
    </row>
    <row r="80" spans="1:23">
      <c r="C80" s="214"/>
      <c r="N80"/>
      <c r="O80" s="274"/>
      <c r="P80"/>
      <c r="Q80" s="275">
        <f t="shared" si="21"/>
        <v>1.6000000000000007E-2</v>
      </c>
      <c r="R80" s="276">
        <v>0.1875</v>
      </c>
      <c r="S80" s="533"/>
      <c r="T80"/>
      <c r="U80"/>
      <c r="V80"/>
      <c r="W80"/>
    </row>
    <row r="81" spans="3:23">
      <c r="C81" s="214"/>
      <c r="N81"/>
      <c r="O81" s="274"/>
      <c r="P81"/>
      <c r="Q81" s="275">
        <f t="shared" si="21"/>
        <v>1.7000000000000008E-2</v>
      </c>
      <c r="R81" s="276">
        <v>0.1875</v>
      </c>
      <c r="S81" s="533"/>
      <c r="T81"/>
      <c r="U81"/>
      <c r="V81"/>
      <c r="W81"/>
    </row>
    <row r="82" spans="3:23">
      <c r="C82" s="214"/>
      <c r="N82"/>
      <c r="O82" s="274"/>
      <c r="P82"/>
      <c r="Q82" s="275">
        <f t="shared" si="21"/>
        <v>1.8000000000000009E-2</v>
      </c>
      <c r="R82" s="276">
        <v>0.1875</v>
      </c>
      <c r="S82" s="533"/>
      <c r="T82"/>
      <c r="U82"/>
      <c r="V82"/>
      <c r="W82"/>
    </row>
    <row r="83" spans="3:23">
      <c r="C83" s="214"/>
      <c r="N83"/>
      <c r="O83" s="274"/>
      <c r="P83"/>
      <c r="Q83" s="275">
        <f t="shared" si="21"/>
        <v>1.900000000000001E-2</v>
      </c>
      <c r="R83" s="276">
        <v>0.1875</v>
      </c>
      <c r="S83" s="533"/>
      <c r="T83"/>
      <c r="U83"/>
      <c r="V83"/>
      <c r="W83"/>
    </row>
    <row r="84" spans="3:23">
      <c r="N84"/>
      <c r="O84" s="274"/>
      <c r="P84"/>
      <c r="Q84" s="275">
        <f t="shared" si="21"/>
        <v>2.0000000000000011E-2</v>
      </c>
      <c r="R84" s="276">
        <v>0.1875</v>
      </c>
      <c r="S84" s="533"/>
      <c r="T84"/>
      <c r="U84"/>
      <c r="V84"/>
      <c r="W84"/>
    </row>
    <row r="85" spans="3:23">
      <c r="N85"/>
      <c r="O85" s="274"/>
      <c r="P85"/>
      <c r="Q85" s="275">
        <f t="shared" si="21"/>
        <v>2.1000000000000012E-2</v>
      </c>
      <c r="R85" s="276">
        <v>0.1875</v>
      </c>
      <c r="S85" s="533"/>
      <c r="T85"/>
      <c r="U85"/>
      <c r="V85"/>
      <c r="W85"/>
    </row>
    <row r="86" spans="3:23">
      <c r="N86"/>
      <c r="O86" s="274"/>
      <c r="P86"/>
      <c r="Q86" s="275">
        <f t="shared" si="21"/>
        <v>2.2000000000000013E-2</v>
      </c>
      <c r="R86" s="276">
        <v>0.1875</v>
      </c>
      <c r="S86" s="533"/>
      <c r="T86"/>
      <c r="U86"/>
      <c r="V86"/>
      <c r="W86"/>
    </row>
    <row r="87" spans="3:23">
      <c r="N87"/>
      <c r="O87" s="274"/>
      <c r="P87"/>
      <c r="Q87" s="275">
        <f t="shared" si="21"/>
        <v>2.3000000000000013E-2</v>
      </c>
      <c r="R87" s="276">
        <v>0.1875</v>
      </c>
      <c r="S87" s="533"/>
      <c r="T87"/>
      <c r="U87"/>
      <c r="V87"/>
      <c r="W87"/>
    </row>
    <row r="88" spans="3:23">
      <c r="O88" s="340"/>
      <c r="Q88" s="275">
        <f t="shared" si="21"/>
        <v>2.4000000000000014E-2</v>
      </c>
      <c r="R88" s="276">
        <v>0.1875</v>
      </c>
      <c r="S88" s="533"/>
      <c r="T88"/>
      <c r="U88"/>
      <c r="V88"/>
      <c r="W88"/>
    </row>
    <row r="89" spans="3:23">
      <c r="O89" s="340"/>
      <c r="Q89" s="275">
        <f t="shared" si="21"/>
        <v>2.5000000000000015E-2</v>
      </c>
      <c r="R89" s="276">
        <v>0.1875</v>
      </c>
      <c r="S89" s="533"/>
      <c r="T89"/>
      <c r="U89"/>
      <c r="V89"/>
      <c r="W89"/>
    </row>
    <row r="90" spans="3:23">
      <c r="O90" s="340"/>
      <c r="Q90" s="275">
        <f t="shared" si="21"/>
        <v>2.6000000000000016E-2</v>
      </c>
      <c r="R90" s="276">
        <v>0.1875</v>
      </c>
      <c r="S90" s="533"/>
      <c r="T90"/>
      <c r="U90"/>
      <c r="V90"/>
      <c r="W90"/>
    </row>
    <row r="91" spans="3:23">
      <c r="O91" s="340"/>
      <c r="Q91" s="275">
        <f t="shared" si="21"/>
        <v>2.7000000000000017E-2</v>
      </c>
      <c r="R91" s="276">
        <v>0.1875</v>
      </c>
      <c r="S91" s="533"/>
      <c r="T91"/>
      <c r="U91"/>
      <c r="V91"/>
      <c r="W91"/>
    </row>
    <row r="92" spans="3:23">
      <c r="O92" s="340"/>
      <c r="Q92" s="275">
        <f t="shared" si="21"/>
        <v>2.8000000000000018E-2</v>
      </c>
      <c r="R92" s="276">
        <v>0.1875</v>
      </c>
      <c r="S92" s="533"/>
      <c r="T92"/>
      <c r="U92"/>
      <c r="V92"/>
      <c r="W92"/>
    </row>
    <row r="93" spans="3:23">
      <c r="O93" s="340"/>
      <c r="Q93" s="275">
        <f t="shared" si="21"/>
        <v>2.9000000000000019E-2</v>
      </c>
      <c r="R93" s="276">
        <v>0.1875</v>
      </c>
      <c r="S93" s="533"/>
      <c r="T93"/>
      <c r="U93"/>
      <c r="V93"/>
      <c r="W93"/>
    </row>
    <row r="94" spans="3:23">
      <c r="O94" s="340"/>
      <c r="Q94" s="275">
        <f t="shared" si="21"/>
        <v>3.000000000000002E-2</v>
      </c>
      <c r="R94" s="276">
        <v>0.1875</v>
      </c>
      <c r="S94" s="533"/>
      <c r="T94"/>
      <c r="U94"/>
      <c r="V94"/>
      <c r="W94"/>
    </row>
    <row r="95" spans="3:23">
      <c r="O95" s="340"/>
      <c r="Q95" s="275">
        <f t="shared" si="21"/>
        <v>3.1000000000000021E-2</v>
      </c>
      <c r="R95" s="276">
        <v>0.1875</v>
      </c>
      <c r="S95" s="533"/>
      <c r="T95"/>
      <c r="U95"/>
      <c r="V95"/>
      <c r="W95"/>
    </row>
    <row r="96" spans="3:23">
      <c r="O96" s="340"/>
      <c r="Q96" s="275">
        <f t="shared" si="21"/>
        <v>3.2000000000000021E-2</v>
      </c>
      <c r="R96" s="276">
        <v>0.1875</v>
      </c>
      <c r="S96" s="533"/>
      <c r="T96"/>
      <c r="U96"/>
      <c r="V96"/>
      <c r="W96"/>
    </row>
    <row r="97" spans="15:23">
      <c r="O97" s="340"/>
      <c r="Q97" s="275">
        <f t="shared" si="21"/>
        <v>3.3000000000000022E-2</v>
      </c>
      <c r="R97" s="276">
        <v>0.1875</v>
      </c>
      <c r="S97" s="533"/>
      <c r="T97"/>
      <c r="U97"/>
      <c r="V97"/>
      <c r="W97"/>
    </row>
    <row r="98" spans="15:23">
      <c r="O98" s="340"/>
      <c r="Q98" s="275">
        <f t="shared" si="21"/>
        <v>3.4000000000000023E-2</v>
      </c>
      <c r="R98" s="276">
        <v>0.1875</v>
      </c>
      <c r="S98" s="533"/>
      <c r="T98"/>
      <c r="U98"/>
      <c r="V98"/>
      <c r="W98"/>
    </row>
    <row r="99" spans="15:23">
      <c r="O99" s="340"/>
      <c r="Q99" s="275">
        <f t="shared" si="21"/>
        <v>3.5000000000000024E-2</v>
      </c>
      <c r="R99" s="276">
        <v>0.1875</v>
      </c>
      <c r="S99" s="533"/>
      <c r="T99"/>
      <c r="U99"/>
      <c r="V99"/>
      <c r="W99"/>
    </row>
    <row r="100" spans="15:23">
      <c r="O100" s="340"/>
      <c r="Q100" s="275">
        <f t="shared" si="21"/>
        <v>3.6000000000000025E-2</v>
      </c>
      <c r="R100" s="276">
        <v>0.1875</v>
      </c>
      <c r="S100" s="533"/>
      <c r="T100"/>
      <c r="U100"/>
      <c r="V100"/>
      <c r="W100"/>
    </row>
    <row r="101" spans="15:23">
      <c r="O101" s="340"/>
      <c r="Q101" s="275">
        <f t="shared" si="21"/>
        <v>3.7000000000000026E-2</v>
      </c>
      <c r="R101" s="276">
        <v>0.1875</v>
      </c>
      <c r="S101" s="533"/>
      <c r="T101"/>
      <c r="U101"/>
      <c r="V101"/>
      <c r="W101"/>
    </row>
    <row r="102" spans="15:23">
      <c r="O102" s="340"/>
      <c r="Q102" s="275">
        <f t="shared" si="21"/>
        <v>3.8000000000000027E-2</v>
      </c>
      <c r="R102" s="276">
        <v>0.1875</v>
      </c>
      <c r="S102" s="533"/>
      <c r="T102"/>
      <c r="U102"/>
      <c r="V102"/>
      <c r="W102"/>
    </row>
    <row r="103" spans="15:23">
      <c r="O103" s="340"/>
      <c r="Q103" s="275">
        <f t="shared" si="21"/>
        <v>3.9000000000000028E-2</v>
      </c>
      <c r="R103" s="276">
        <v>0.1875</v>
      </c>
      <c r="S103" s="533"/>
      <c r="T103"/>
      <c r="U103"/>
      <c r="V103"/>
      <c r="W103"/>
    </row>
    <row r="104" spans="15:23">
      <c r="O104" s="340"/>
      <c r="Q104" s="275">
        <f t="shared" si="21"/>
        <v>4.0000000000000029E-2</v>
      </c>
      <c r="R104" s="276">
        <v>0.1875</v>
      </c>
      <c r="S104" s="533"/>
      <c r="T104"/>
      <c r="U104"/>
      <c r="V104"/>
      <c r="W104"/>
    </row>
    <row r="105" spans="15:23">
      <c r="O105" s="340"/>
      <c r="Q105" s="275">
        <f t="shared" si="21"/>
        <v>4.1000000000000029E-2</v>
      </c>
      <c r="R105" s="276">
        <v>0.1875</v>
      </c>
      <c r="S105" s="533"/>
      <c r="T105"/>
      <c r="U105"/>
      <c r="V105"/>
      <c r="W105"/>
    </row>
    <row r="106" spans="15:23">
      <c r="O106" s="340"/>
      <c r="Q106" s="275">
        <f t="shared" si="21"/>
        <v>4.200000000000003E-2</v>
      </c>
      <c r="R106" s="276">
        <v>0.1875</v>
      </c>
      <c r="S106" s="533"/>
      <c r="T106"/>
      <c r="U106"/>
      <c r="V106"/>
      <c r="W106"/>
    </row>
    <row r="107" spans="15:23">
      <c r="O107" s="340"/>
      <c r="Q107" s="275">
        <f t="shared" si="21"/>
        <v>4.3000000000000031E-2</v>
      </c>
      <c r="R107" s="276">
        <v>0.1875</v>
      </c>
      <c r="S107" s="533"/>
      <c r="T107"/>
      <c r="U107"/>
      <c r="V107"/>
      <c r="W107"/>
    </row>
    <row r="108" spans="15:23">
      <c r="O108" s="340"/>
      <c r="Q108" s="275">
        <f t="shared" si="21"/>
        <v>4.4000000000000032E-2</v>
      </c>
      <c r="R108" s="276">
        <v>0.1875</v>
      </c>
      <c r="S108" s="533"/>
      <c r="T108"/>
      <c r="U108"/>
      <c r="V108"/>
      <c r="W108"/>
    </row>
    <row r="109" spans="15:23">
      <c r="O109" s="340"/>
      <c r="Q109" s="275">
        <f t="shared" si="21"/>
        <v>4.5000000000000033E-2</v>
      </c>
      <c r="R109" s="276">
        <v>0.1875</v>
      </c>
      <c r="S109" s="533"/>
      <c r="T109"/>
      <c r="U109"/>
      <c r="V109"/>
      <c r="W109"/>
    </row>
    <row r="110" spans="15:23">
      <c r="O110" s="340"/>
      <c r="Q110" s="275">
        <f t="shared" si="21"/>
        <v>4.6000000000000034E-2</v>
      </c>
      <c r="R110" s="276">
        <v>0.1875</v>
      </c>
      <c r="S110" s="533"/>
      <c r="T110"/>
      <c r="U110"/>
      <c r="V110"/>
      <c r="W110"/>
    </row>
    <row r="111" spans="15:23">
      <c r="O111" s="340"/>
      <c r="Q111" s="275">
        <f t="shared" si="21"/>
        <v>4.7000000000000035E-2</v>
      </c>
      <c r="R111" s="276">
        <v>0.1875</v>
      </c>
      <c r="S111" s="533"/>
      <c r="T111"/>
      <c r="U111"/>
      <c r="V111"/>
      <c r="W111"/>
    </row>
    <row r="112" spans="15:23">
      <c r="O112" s="340"/>
      <c r="Q112" s="275">
        <f t="shared" si="21"/>
        <v>4.8000000000000036E-2</v>
      </c>
      <c r="R112" s="276">
        <v>0.1875</v>
      </c>
      <c r="S112" s="533"/>
      <c r="T112"/>
      <c r="U112"/>
      <c r="V112"/>
      <c r="W112"/>
    </row>
    <row r="113" spans="15:23">
      <c r="O113" s="340"/>
      <c r="Q113" s="275">
        <f t="shared" si="21"/>
        <v>4.9000000000000037E-2</v>
      </c>
      <c r="R113" s="276">
        <v>0.1875</v>
      </c>
      <c r="S113" s="533"/>
      <c r="T113"/>
      <c r="U113"/>
      <c r="V113"/>
      <c r="W113"/>
    </row>
    <row r="114" spans="15:23">
      <c r="O114" s="340"/>
      <c r="Q114" s="275">
        <f t="shared" si="21"/>
        <v>5.0000000000000037E-2</v>
      </c>
      <c r="R114" s="276">
        <v>0.1875</v>
      </c>
      <c r="S114" s="533"/>
      <c r="T114"/>
      <c r="U114"/>
      <c r="V114"/>
      <c r="W114"/>
    </row>
    <row r="115" spans="15:23">
      <c r="O115" s="340"/>
      <c r="Q115" s="275">
        <f t="shared" si="21"/>
        <v>5.1000000000000038E-2</v>
      </c>
      <c r="R115" s="276">
        <v>0.1875</v>
      </c>
      <c r="S115" s="533"/>
      <c r="T115"/>
      <c r="U115"/>
      <c r="V115"/>
      <c r="W115"/>
    </row>
    <row r="116" spans="15:23">
      <c r="O116" s="340"/>
      <c r="Q116" s="275">
        <f t="shared" si="21"/>
        <v>5.2000000000000039E-2</v>
      </c>
      <c r="R116" s="276">
        <v>0.1875</v>
      </c>
      <c r="S116" s="533"/>
      <c r="T116"/>
      <c r="U116"/>
      <c r="V116"/>
      <c r="W116"/>
    </row>
    <row r="117" spans="15:23">
      <c r="O117" s="340"/>
      <c r="Q117" s="275">
        <f t="shared" si="21"/>
        <v>5.300000000000004E-2</v>
      </c>
      <c r="R117" s="276">
        <v>0.1875</v>
      </c>
      <c r="S117" s="533"/>
      <c r="T117"/>
      <c r="U117"/>
      <c r="V117"/>
      <c r="W117"/>
    </row>
    <row r="118" spans="15:23">
      <c r="O118" s="340"/>
      <c r="Q118" s="275">
        <f t="shared" si="21"/>
        <v>5.4000000000000041E-2</v>
      </c>
      <c r="R118" s="276">
        <v>0.1875</v>
      </c>
      <c r="S118" s="533"/>
      <c r="T118"/>
      <c r="U118"/>
      <c r="V118"/>
      <c r="W118"/>
    </row>
    <row r="119" spans="15:23">
      <c r="O119" s="340"/>
      <c r="Q119" s="275">
        <f t="shared" si="21"/>
        <v>5.5000000000000042E-2</v>
      </c>
      <c r="R119" s="276">
        <v>0.1875</v>
      </c>
      <c r="S119" s="533"/>
      <c r="T119"/>
      <c r="U119"/>
      <c r="V119"/>
      <c r="W119"/>
    </row>
    <row r="120" spans="15:23">
      <c r="O120" s="340"/>
      <c r="Q120" s="275">
        <f t="shared" si="21"/>
        <v>5.6000000000000043E-2</v>
      </c>
      <c r="R120" s="276">
        <v>0.1875</v>
      </c>
      <c r="S120" s="533"/>
      <c r="T120"/>
      <c r="U120"/>
      <c r="V120"/>
      <c r="W120"/>
    </row>
    <row r="121" spans="15:23">
      <c r="O121" s="340"/>
      <c r="Q121" s="275">
        <f t="shared" si="21"/>
        <v>5.7000000000000044E-2</v>
      </c>
      <c r="R121" s="276">
        <v>0.1875</v>
      </c>
      <c r="S121" s="533"/>
      <c r="T121"/>
      <c r="U121"/>
      <c r="V121"/>
      <c r="W121"/>
    </row>
    <row r="122" spans="15:23">
      <c r="O122" s="340"/>
      <c r="Q122" s="275">
        <f t="shared" si="21"/>
        <v>5.8000000000000045E-2</v>
      </c>
      <c r="R122" s="276">
        <v>0.1875</v>
      </c>
      <c r="S122" s="533"/>
      <c r="T122"/>
      <c r="U122"/>
      <c r="V122"/>
      <c r="W122"/>
    </row>
    <row r="123" spans="15:23">
      <c r="O123" s="340"/>
      <c r="Q123" s="275">
        <f t="shared" si="21"/>
        <v>5.9000000000000045E-2</v>
      </c>
      <c r="R123" s="276">
        <v>0.1875</v>
      </c>
      <c r="S123" s="533"/>
      <c r="T123"/>
      <c r="U123"/>
      <c r="V123"/>
      <c r="W123"/>
    </row>
    <row r="124" spans="15:23">
      <c r="O124" s="340"/>
      <c r="Q124" s="275">
        <f t="shared" si="21"/>
        <v>6.0000000000000046E-2</v>
      </c>
      <c r="R124" s="276">
        <v>0.1875</v>
      </c>
      <c r="S124" s="533"/>
      <c r="T124"/>
      <c r="U124"/>
      <c r="V124"/>
      <c r="W124"/>
    </row>
    <row r="125" spans="15:23">
      <c r="O125" s="340"/>
      <c r="Q125" s="275">
        <f t="shared" si="21"/>
        <v>6.1000000000000047E-2</v>
      </c>
      <c r="R125" s="276">
        <v>0.1875</v>
      </c>
      <c r="S125" s="533"/>
      <c r="T125"/>
      <c r="U125"/>
      <c r="V125"/>
      <c r="W125"/>
    </row>
    <row r="126" spans="15:23">
      <c r="O126" s="340"/>
      <c r="Q126" s="275">
        <f t="shared" si="21"/>
        <v>6.2000000000000048E-2</v>
      </c>
      <c r="R126" s="276">
        <v>0.1875</v>
      </c>
      <c r="S126" s="533"/>
      <c r="T126"/>
      <c r="U126"/>
      <c r="V126"/>
      <c r="W126"/>
    </row>
    <row r="127" spans="15:23">
      <c r="O127" s="340"/>
      <c r="Q127" s="275">
        <f t="shared" si="21"/>
        <v>6.3000000000000042E-2</v>
      </c>
      <c r="R127" s="276">
        <v>0.1875</v>
      </c>
      <c r="S127" s="533"/>
      <c r="T127"/>
      <c r="U127"/>
      <c r="V127"/>
      <c r="W127"/>
    </row>
    <row r="128" spans="15:23">
      <c r="O128" s="340"/>
      <c r="Q128" s="275">
        <f t="shared" si="21"/>
        <v>6.4000000000000043E-2</v>
      </c>
      <c r="R128" s="276">
        <v>0.1875</v>
      </c>
      <c r="S128" s="533"/>
      <c r="T128"/>
      <c r="U128"/>
      <c r="V128"/>
      <c r="W128"/>
    </row>
    <row r="129" spans="15:23">
      <c r="O129" s="340"/>
      <c r="Q129" s="275">
        <f t="shared" ref="Q129:Q192" si="22">Q128+0.001</f>
        <v>6.5000000000000044E-2</v>
      </c>
      <c r="R129" s="276">
        <v>0.1875</v>
      </c>
      <c r="S129" s="533"/>
      <c r="T129"/>
      <c r="U129"/>
      <c r="V129"/>
      <c r="W129"/>
    </row>
    <row r="130" spans="15:23">
      <c r="O130" s="340"/>
      <c r="Q130" s="275">
        <f t="shared" si="22"/>
        <v>6.6000000000000045E-2</v>
      </c>
      <c r="R130" s="276">
        <v>0.1875</v>
      </c>
      <c r="S130" s="533"/>
      <c r="T130"/>
      <c r="U130"/>
      <c r="V130"/>
      <c r="W130"/>
    </row>
    <row r="131" spans="15:23">
      <c r="O131" s="340"/>
      <c r="Q131" s="275">
        <f t="shared" si="22"/>
        <v>6.7000000000000046E-2</v>
      </c>
      <c r="R131" s="276">
        <v>0.1875</v>
      </c>
      <c r="S131" s="533"/>
      <c r="T131"/>
      <c r="U131"/>
      <c r="V131"/>
      <c r="W131"/>
    </row>
    <row r="132" spans="15:23">
      <c r="O132" s="340"/>
      <c r="Q132" s="275">
        <f t="shared" si="22"/>
        <v>6.8000000000000047E-2</v>
      </c>
      <c r="R132" s="276">
        <v>0.1875</v>
      </c>
      <c r="S132" s="533"/>
      <c r="T132"/>
      <c r="U132"/>
      <c r="V132"/>
      <c r="W132"/>
    </row>
    <row r="133" spans="15:23">
      <c r="O133" s="340"/>
      <c r="Q133" s="275">
        <f t="shared" si="22"/>
        <v>6.9000000000000047E-2</v>
      </c>
      <c r="R133" s="276">
        <v>0.1875</v>
      </c>
      <c r="S133" s="533"/>
      <c r="T133"/>
      <c r="U133"/>
      <c r="V133"/>
      <c r="W133"/>
    </row>
    <row r="134" spans="15:23">
      <c r="O134" s="340"/>
      <c r="Q134" s="275">
        <f t="shared" si="22"/>
        <v>7.0000000000000048E-2</v>
      </c>
      <c r="R134" s="276">
        <v>0.1875</v>
      </c>
      <c r="S134" s="533"/>
      <c r="T134"/>
      <c r="U134"/>
      <c r="V134"/>
      <c r="W134"/>
    </row>
    <row r="135" spans="15:23">
      <c r="O135" s="340"/>
      <c r="Q135" s="275">
        <f t="shared" si="22"/>
        <v>7.1000000000000049E-2</v>
      </c>
      <c r="R135" s="276">
        <v>0.1875</v>
      </c>
      <c r="S135" s="533"/>
      <c r="T135"/>
      <c r="U135"/>
      <c r="V135"/>
      <c r="W135"/>
    </row>
    <row r="136" spans="15:23">
      <c r="O136" s="340"/>
      <c r="Q136" s="275">
        <f t="shared" si="22"/>
        <v>7.200000000000005E-2</v>
      </c>
      <c r="R136" s="276">
        <v>0.1875</v>
      </c>
      <c r="S136" s="533"/>
      <c r="T136"/>
      <c r="U136"/>
      <c r="V136"/>
      <c r="W136"/>
    </row>
    <row r="137" spans="15:23">
      <c r="O137" s="340"/>
      <c r="Q137" s="275">
        <f t="shared" si="22"/>
        <v>7.3000000000000051E-2</v>
      </c>
      <c r="R137" s="276">
        <v>0.1875</v>
      </c>
      <c r="S137" s="533"/>
      <c r="T137"/>
      <c r="U137"/>
      <c r="V137"/>
      <c r="W137"/>
    </row>
    <row r="138" spans="15:23">
      <c r="O138" s="340"/>
      <c r="Q138" s="275">
        <f t="shared" si="22"/>
        <v>7.4000000000000052E-2</v>
      </c>
      <c r="R138" s="276">
        <v>0.1875</v>
      </c>
      <c r="S138" s="533"/>
      <c r="T138"/>
      <c r="U138"/>
      <c r="V138"/>
      <c r="W138"/>
    </row>
    <row r="139" spans="15:23">
      <c r="O139" s="340"/>
      <c r="Q139" s="275">
        <f t="shared" si="22"/>
        <v>7.5000000000000053E-2</v>
      </c>
      <c r="R139" s="276">
        <v>0.1875</v>
      </c>
      <c r="S139" s="533"/>
      <c r="T139"/>
      <c r="U139"/>
      <c r="V139"/>
      <c r="W139"/>
    </row>
    <row r="140" spans="15:23">
      <c r="O140" s="340"/>
      <c r="Q140" s="275">
        <f t="shared" si="22"/>
        <v>7.6000000000000054E-2</v>
      </c>
      <c r="R140" s="276">
        <v>0.1875</v>
      </c>
      <c r="S140" s="533"/>
      <c r="T140"/>
      <c r="U140"/>
      <c r="V140"/>
      <c r="W140"/>
    </row>
    <row r="141" spans="15:23">
      <c r="O141" s="340"/>
      <c r="Q141" s="275">
        <f t="shared" si="22"/>
        <v>7.7000000000000055E-2</v>
      </c>
      <c r="R141" s="276">
        <v>0.1875</v>
      </c>
      <c r="S141" s="533"/>
      <c r="T141"/>
      <c r="U141"/>
      <c r="V141"/>
      <c r="W141"/>
    </row>
    <row r="142" spans="15:23">
      <c r="O142" s="340"/>
      <c r="Q142" s="275">
        <f t="shared" si="22"/>
        <v>7.8000000000000055E-2</v>
      </c>
      <c r="R142" s="276">
        <v>0.1875</v>
      </c>
      <c r="S142" s="533"/>
      <c r="T142"/>
      <c r="U142"/>
      <c r="V142"/>
      <c r="W142"/>
    </row>
    <row r="143" spans="15:23">
      <c r="O143" s="340"/>
      <c r="Q143" s="275">
        <f t="shared" si="22"/>
        <v>7.9000000000000056E-2</v>
      </c>
      <c r="R143" s="276">
        <v>0.1875</v>
      </c>
      <c r="S143" s="533"/>
      <c r="T143"/>
      <c r="U143"/>
      <c r="V143"/>
      <c r="W143"/>
    </row>
    <row r="144" spans="15:23">
      <c r="O144" s="340"/>
      <c r="Q144" s="275">
        <f t="shared" si="22"/>
        <v>8.0000000000000057E-2</v>
      </c>
      <c r="R144" s="276">
        <v>0.1875</v>
      </c>
      <c r="S144" s="533"/>
      <c r="T144"/>
      <c r="U144"/>
      <c r="V144"/>
      <c r="W144"/>
    </row>
    <row r="145" spans="15:23">
      <c r="O145" s="340"/>
      <c r="Q145" s="275">
        <f t="shared" si="22"/>
        <v>8.1000000000000058E-2</v>
      </c>
      <c r="R145" s="276">
        <v>0.1875</v>
      </c>
      <c r="S145" s="533"/>
      <c r="T145"/>
      <c r="U145"/>
      <c r="V145"/>
      <c r="W145"/>
    </row>
    <row r="146" spans="15:23">
      <c r="O146" s="340"/>
      <c r="Q146" s="275">
        <f t="shared" si="22"/>
        <v>8.2000000000000059E-2</v>
      </c>
      <c r="R146" s="276">
        <v>0.1875</v>
      </c>
      <c r="S146" s="533"/>
      <c r="T146"/>
      <c r="U146"/>
      <c r="V146"/>
      <c r="W146"/>
    </row>
    <row r="147" spans="15:23">
      <c r="O147" s="340"/>
      <c r="Q147" s="275">
        <f t="shared" si="22"/>
        <v>8.300000000000006E-2</v>
      </c>
      <c r="R147" s="276">
        <v>0.1875</v>
      </c>
      <c r="S147" s="533"/>
      <c r="T147"/>
      <c r="U147"/>
      <c r="V147"/>
      <c r="W147"/>
    </row>
    <row r="148" spans="15:23">
      <c r="O148" s="340"/>
      <c r="Q148" s="275">
        <f t="shared" si="22"/>
        <v>8.4000000000000061E-2</v>
      </c>
      <c r="R148" s="276">
        <v>0.1875</v>
      </c>
      <c r="S148" s="533"/>
      <c r="T148"/>
      <c r="U148"/>
      <c r="V148"/>
      <c r="W148"/>
    </row>
    <row r="149" spans="15:23">
      <c r="O149" s="340"/>
      <c r="Q149" s="275">
        <f t="shared" si="22"/>
        <v>8.5000000000000062E-2</v>
      </c>
      <c r="R149" s="276">
        <v>0.1875</v>
      </c>
      <c r="S149" s="533"/>
      <c r="T149"/>
      <c r="U149"/>
      <c r="V149"/>
      <c r="W149"/>
    </row>
    <row r="150" spans="15:23">
      <c r="O150" s="340"/>
      <c r="Q150" s="275">
        <f t="shared" si="22"/>
        <v>8.6000000000000063E-2</v>
      </c>
      <c r="R150" s="276">
        <v>0.1875</v>
      </c>
      <c r="S150" s="533"/>
      <c r="T150"/>
      <c r="U150"/>
      <c r="V150"/>
      <c r="W150"/>
    </row>
    <row r="151" spans="15:23">
      <c r="O151" s="340"/>
      <c r="Q151" s="275">
        <f t="shared" si="22"/>
        <v>8.7000000000000063E-2</v>
      </c>
      <c r="R151" s="276">
        <v>0.1875</v>
      </c>
      <c r="S151" s="533"/>
      <c r="T151"/>
      <c r="U151"/>
      <c r="V151"/>
      <c r="W151"/>
    </row>
    <row r="152" spans="15:23">
      <c r="O152" s="340"/>
      <c r="Q152" s="275">
        <f t="shared" si="22"/>
        <v>8.8000000000000064E-2</v>
      </c>
      <c r="R152" s="276">
        <v>0.1875</v>
      </c>
      <c r="S152" s="533"/>
      <c r="T152"/>
      <c r="U152"/>
      <c r="V152"/>
      <c r="W152"/>
    </row>
    <row r="153" spans="15:23">
      <c r="O153" s="340"/>
      <c r="Q153" s="275">
        <f t="shared" si="22"/>
        <v>8.9000000000000065E-2</v>
      </c>
      <c r="R153" s="276">
        <v>0.1875</v>
      </c>
      <c r="S153" s="533"/>
      <c r="T153"/>
      <c r="U153"/>
      <c r="V153"/>
      <c r="W153"/>
    </row>
    <row r="154" spans="15:23">
      <c r="O154" s="340"/>
      <c r="Q154" s="275">
        <f t="shared" si="22"/>
        <v>9.0000000000000066E-2</v>
      </c>
      <c r="R154" s="276">
        <v>0.1875</v>
      </c>
      <c r="S154" s="533"/>
      <c r="T154"/>
      <c r="U154"/>
      <c r="V154"/>
      <c r="W154"/>
    </row>
    <row r="155" spans="15:23">
      <c r="O155" s="340"/>
      <c r="Q155" s="275">
        <f t="shared" si="22"/>
        <v>9.1000000000000067E-2</v>
      </c>
      <c r="R155" s="276">
        <v>0.1875</v>
      </c>
      <c r="S155" s="533"/>
      <c r="T155"/>
      <c r="U155"/>
      <c r="V155"/>
      <c r="W155"/>
    </row>
    <row r="156" spans="15:23">
      <c r="O156" s="340"/>
      <c r="Q156" s="275">
        <f t="shared" si="22"/>
        <v>9.2000000000000068E-2</v>
      </c>
      <c r="R156" s="276">
        <v>0.1875</v>
      </c>
      <c r="S156" s="533"/>
      <c r="T156"/>
      <c r="U156"/>
      <c r="V156"/>
      <c r="W156"/>
    </row>
    <row r="157" spans="15:23">
      <c r="O157" s="340"/>
      <c r="Q157" s="275">
        <f t="shared" si="22"/>
        <v>9.3000000000000069E-2</v>
      </c>
      <c r="R157" s="276">
        <v>0.1875</v>
      </c>
      <c r="S157" s="533"/>
      <c r="T157"/>
      <c r="U157"/>
      <c r="V157"/>
      <c r="W157"/>
    </row>
    <row r="158" spans="15:23">
      <c r="O158" s="340"/>
      <c r="Q158" s="275">
        <f t="shared" si="22"/>
        <v>9.400000000000007E-2</v>
      </c>
      <c r="R158" s="276">
        <v>0.1875</v>
      </c>
      <c r="S158" s="533"/>
      <c r="T158"/>
      <c r="U158"/>
      <c r="V158"/>
      <c r="W158"/>
    </row>
    <row r="159" spans="15:23">
      <c r="O159" s="340"/>
      <c r="Q159" s="275">
        <f t="shared" si="22"/>
        <v>9.500000000000007E-2</v>
      </c>
      <c r="R159" s="276">
        <v>0.1875</v>
      </c>
      <c r="S159" s="533"/>
      <c r="T159"/>
      <c r="U159"/>
      <c r="V159"/>
      <c r="W159"/>
    </row>
    <row r="160" spans="15:23">
      <c r="O160" s="340"/>
      <c r="Q160" s="275">
        <f t="shared" si="22"/>
        <v>9.6000000000000071E-2</v>
      </c>
      <c r="R160" s="276">
        <v>0.1875</v>
      </c>
      <c r="S160" s="533"/>
      <c r="T160"/>
      <c r="U160"/>
      <c r="V160"/>
      <c r="W160"/>
    </row>
    <row r="161" spans="15:23">
      <c r="O161" s="340"/>
      <c r="Q161" s="275">
        <f t="shared" si="22"/>
        <v>9.7000000000000072E-2</v>
      </c>
      <c r="R161" s="276">
        <v>0.1875</v>
      </c>
      <c r="S161" s="533"/>
      <c r="T161"/>
      <c r="U161"/>
      <c r="V161"/>
      <c r="W161"/>
    </row>
    <row r="162" spans="15:23">
      <c r="O162" s="340"/>
      <c r="Q162" s="275">
        <f t="shared" si="22"/>
        <v>9.8000000000000073E-2</v>
      </c>
      <c r="R162" s="276">
        <v>0.1875</v>
      </c>
      <c r="S162" s="533"/>
      <c r="T162"/>
      <c r="U162"/>
      <c r="V162"/>
      <c r="W162"/>
    </row>
    <row r="163" spans="15:23">
      <c r="O163" s="340"/>
      <c r="Q163" s="275">
        <f t="shared" si="22"/>
        <v>9.9000000000000074E-2</v>
      </c>
      <c r="R163" s="276">
        <v>0.1875</v>
      </c>
      <c r="S163" s="533"/>
      <c r="T163"/>
      <c r="U163"/>
      <c r="V163"/>
      <c r="W163"/>
    </row>
    <row r="164" spans="15:23">
      <c r="O164" s="340"/>
      <c r="Q164" s="275">
        <f t="shared" si="22"/>
        <v>0.10000000000000007</v>
      </c>
      <c r="R164" s="276">
        <v>0.1875</v>
      </c>
      <c r="S164" s="533"/>
      <c r="T164"/>
      <c r="U164"/>
      <c r="V164"/>
      <c r="W164"/>
    </row>
    <row r="165" spans="15:23">
      <c r="O165" s="340"/>
      <c r="Q165" s="275">
        <f t="shared" si="22"/>
        <v>0.10100000000000008</v>
      </c>
      <c r="R165" s="276">
        <v>0.1875</v>
      </c>
      <c r="S165" s="533"/>
      <c r="T165"/>
      <c r="U165"/>
      <c r="V165"/>
      <c r="W165"/>
    </row>
    <row r="166" spans="15:23">
      <c r="O166" s="340"/>
      <c r="Q166" s="275">
        <f t="shared" si="22"/>
        <v>0.10200000000000008</v>
      </c>
      <c r="R166" s="276">
        <v>0.1875</v>
      </c>
      <c r="S166" s="533"/>
      <c r="T166"/>
      <c r="U166"/>
      <c r="V166"/>
      <c r="W166"/>
    </row>
    <row r="167" spans="15:23">
      <c r="O167" s="340"/>
      <c r="Q167" s="275">
        <f t="shared" si="22"/>
        <v>0.10300000000000008</v>
      </c>
      <c r="R167" s="276">
        <v>0.1875</v>
      </c>
      <c r="S167" s="533"/>
      <c r="T167"/>
      <c r="U167"/>
      <c r="V167"/>
      <c r="W167"/>
    </row>
    <row r="168" spans="15:23">
      <c r="O168" s="340"/>
      <c r="Q168" s="275">
        <f t="shared" si="22"/>
        <v>0.10400000000000008</v>
      </c>
      <c r="R168" s="276">
        <v>0.1875</v>
      </c>
      <c r="S168" s="533"/>
      <c r="T168"/>
      <c r="U168"/>
      <c r="V168"/>
      <c r="W168"/>
    </row>
    <row r="169" spans="15:23">
      <c r="O169" s="340"/>
      <c r="Q169" s="275">
        <f t="shared" si="22"/>
        <v>0.10500000000000008</v>
      </c>
      <c r="R169" s="276">
        <v>0.1875</v>
      </c>
      <c r="S169" s="533"/>
      <c r="T169"/>
      <c r="U169"/>
      <c r="V169"/>
      <c r="W169"/>
    </row>
    <row r="170" spans="15:23">
      <c r="O170" s="340"/>
      <c r="Q170" s="275">
        <f t="shared" si="22"/>
        <v>0.10600000000000008</v>
      </c>
      <c r="R170" s="276">
        <v>0.1875</v>
      </c>
      <c r="S170" s="533"/>
      <c r="T170"/>
      <c r="U170"/>
      <c r="V170"/>
      <c r="W170"/>
    </row>
    <row r="171" spans="15:23">
      <c r="O171" s="340"/>
      <c r="Q171" s="275">
        <f t="shared" si="22"/>
        <v>0.10700000000000008</v>
      </c>
      <c r="R171" s="276">
        <v>0.1875</v>
      </c>
      <c r="S171" s="533"/>
      <c r="T171"/>
      <c r="U171"/>
      <c r="V171"/>
      <c r="W171"/>
    </row>
    <row r="172" spans="15:23">
      <c r="O172" s="340"/>
      <c r="Q172" s="275">
        <f t="shared" si="22"/>
        <v>0.10800000000000008</v>
      </c>
      <c r="R172" s="276">
        <v>0.1875</v>
      </c>
      <c r="S172" s="533"/>
      <c r="T172"/>
      <c r="U172"/>
      <c r="V172"/>
      <c r="W172"/>
    </row>
    <row r="173" spans="15:23">
      <c r="O173" s="340"/>
      <c r="Q173" s="275">
        <f t="shared" si="22"/>
        <v>0.10900000000000008</v>
      </c>
      <c r="R173" s="276">
        <v>0.1875</v>
      </c>
      <c r="S173" s="533"/>
      <c r="T173"/>
      <c r="U173"/>
      <c r="V173"/>
      <c r="W173"/>
    </row>
    <row r="174" spans="15:23">
      <c r="O174" s="340"/>
      <c r="Q174" s="275">
        <f t="shared" si="22"/>
        <v>0.11000000000000008</v>
      </c>
      <c r="R174" s="276">
        <v>0.1875</v>
      </c>
      <c r="S174" s="533"/>
      <c r="T174"/>
      <c r="U174"/>
      <c r="V174"/>
      <c r="W174"/>
    </row>
    <row r="175" spans="15:23">
      <c r="O175" s="340"/>
      <c r="Q175" s="275">
        <f t="shared" si="22"/>
        <v>0.11100000000000008</v>
      </c>
      <c r="R175" s="276">
        <v>0.1875</v>
      </c>
      <c r="S175" s="533"/>
      <c r="T175"/>
      <c r="U175"/>
      <c r="V175"/>
      <c r="W175"/>
    </row>
    <row r="176" spans="15:23">
      <c r="O176" s="340"/>
      <c r="Q176" s="275">
        <f t="shared" si="22"/>
        <v>0.11200000000000009</v>
      </c>
      <c r="R176" s="276">
        <v>0.1875</v>
      </c>
      <c r="S176" s="533"/>
      <c r="T176"/>
      <c r="U176"/>
      <c r="V176"/>
      <c r="W176"/>
    </row>
    <row r="177" spans="15:23">
      <c r="O177" s="340"/>
      <c r="Q177" s="275">
        <f t="shared" si="22"/>
        <v>0.11300000000000009</v>
      </c>
      <c r="R177" s="276">
        <v>0.1875</v>
      </c>
      <c r="S177" s="533"/>
      <c r="T177"/>
      <c r="U177"/>
      <c r="V177"/>
      <c r="W177"/>
    </row>
    <row r="178" spans="15:23">
      <c r="O178" s="340"/>
      <c r="Q178" s="275">
        <f t="shared" si="22"/>
        <v>0.11400000000000009</v>
      </c>
      <c r="R178" s="276">
        <v>0.1875</v>
      </c>
      <c r="S178" s="533"/>
      <c r="T178"/>
      <c r="U178"/>
      <c r="V178"/>
      <c r="W178"/>
    </row>
    <row r="179" spans="15:23">
      <c r="O179" s="340"/>
      <c r="Q179" s="275">
        <f t="shared" si="22"/>
        <v>0.11500000000000009</v>
      </c>
      <c r="R179" s="276">
        <v>0.1875</v>
      </c>
      <c r="S179" s="533"/>
      <c r="T179"/>
      <c r="U179"/>
      <c r="V179"/>
      <c r="W179"/>
    </row>
    <row r="180" spans="15:23">
      <c r="O180" s="340"/>
      <c r="Q180" s="275">
        <f t="shared" si="22"/>
        <v>0.11600000000000009</v>
      </c>
      <c r="R180" s="276">
        <v>0.1875</v>
      </c>
      <c r="S180" s="533"/>
      <c r="T180"/>
      <c r="U180"/>
      <c r="V180"/>
      <c r="W180"/>
    </row>
    <row r="181" spans="15:23">
      <c r="O181" s="340"/>
      <c r="Q181" s="275">
        <f t="shared" si="22"/>
        <v>0.11700000000000009</v>
      </c>
      <c r="R181" s="276">
        <v>0.1875</v>
      </c>
      <c r="S181" s="533"/>
      <c r="T181"/>
      <c r="U181"/>
      <c r="V181"/>
      <c r="W181"/>
    </row>
    <row r="182" spans="15:23">
      <c r="O182" s="340"/>
      <c r="Q182" s="275">
        <f t="shared" si="22"/>
        <v>0.11800000000000009</v>
      </c>
      <c r="R182" s="276">
        <v>0.1875</v>
      </c>
      <c r="S182" s="533"/>
      <c r="T182"/>
      <c r="U182"/>
      <c r="V182"/>
      <c r="W182"/>
    </row>
    <row r="183" spans="15:23">
      <c r="O183" s="340"/>
      <c r="Q183" s="275">
        <f t="shared" si="22"/>
        <v>0.11900000000000009</v>
      </c>
      <c r="R183" s="276">
        <v>0.1875</v>
      </c>
      <c r="S183" s="533"/>
      <c r="T183"/>
      <c r="U183"/>
      <c r="V183"/>
      <c r="W183"/>
    </row>
    <row r="184" spans="15:23">
      <c r="O184" s="340"/>
      <c r="Q184" s="275">
        <f t="shared" si="22"/>
        <v>0.12000000000000009</v>
      </c>
      <c r="R184" s="276">
        <v>0.1875</v>
      </c>
      <c r="S184" s="533"/>
      <c r="T184"/>
      <c r="U184"/>
      <c r="V184"/>
      <c r="W184"/>
    </row>
    <row r="185" spans="15:23">
      <c r="O185" s="340"/>
      <c r="Q185" s="275">
        <f t="shared" si="22"/>
        <v>0.12100000000000009</v>
      </c>
      <c r="R185" s="276">
        <v>0.1875</v>
      </c>
      <c r="S185" s="533"/>
      <c r="T185"/>
      <c r="U185"/>
      <c r="V185"/>
      <c r="W185"/>
    </row>
    <row r="186" spans="15:23">
      <c r="O186" s="340"/>
      <c r="Q186" s="275">
        <f t="shared" si="22"/>
        <v>0.12200000000000009</v>
      </c>
      <c r="R186" s="276">
        <v>0.1875</v>
      </c>
      <c r="S186" s="533"/>
      <c r="T186"/>
      <c r="U186"/>
      <c r="V186"/>
      <c r="W186"/>
    </row>
    <row r="187" spans="15:23">
      <c r="O187" s="340"/>
      <c r="Q187" s="275">
        <f t="shared" si="22"/>
        <v>0.1230000000000001</v>
      </c>
      <c r="R187" s="276">
        <v>0.1875</v>
      </c>
      <c r="S187" s="533"/>
      <c r="T187"/>
      <c r="U187"/>
      <c r="V187"/>
      <c r="W187"/>
    </row>
    <row r="188" spans="15:23">
      <c r="O188" s="340"/>
      <c r="Q188" s="275">
        <f t="shared" si="22"/>
        <v>0.1240000000000001</v>
      </c>
      <c r="R188" s="276">
        <v>0.1875</v>
      </c>
      <c r="S188" s="533"/>
      <c r="T188"/>
      <c r="U188"/>
      <c r="V188"/>
      <c r="W188"/>
    </row>
    <row r="189" spans="15:23">
      <c r="O189" s="340"/>
      <c r="Q189" s="275">
        <f t="shared" si="22"/>
        <v>0.12500000000000008</v>
      </c>
      <c r="R189" s="276">
        <v>0.1875</v>
      </c>
      <c r="S189" s="533"/>
      <c r="T189"/>
      <c r="U189"/>
      <c r="V189"/>
      <c r="W189"/>
    </row>
    <row r="190" spans="15:23">
      <c r="O190" s="340"/>
      <c r="Q190" s="275">
        <f t="shared" si="22"/>
        <v>0.12600000000000008</v>
      </c>
      <c r="R190" s="276">
        <v>0.1875</v>
      </c>
      <c r="S190" s="533"/>
      <c r="T190"/>
      <c r="U190"/>
      <c r="V190"/>
      <c r="W190"/>
    </row>
    <row r="191" spans="15:23">
      <c r="O191" s="340"/>
      <c r="Q191" s="275">
        <f t="shared" si="22"/>
        <v>0.12700000000000009</v>
      </c>
      <c r="R191" s="276">
        <v>0.1875</v>
      </c>
      <c r="S191" s="533"/>
      <c r="T191"/>
      <c r="U191"/>
      <c r="V191"/>
      <c r="W191"/>
    </row>
    <row r="192" spans="15:23">
      <c r="O192" s="340"/>
      <c r="Q192" s="275">
        <f t="shared" si="22"/>
        <v>0.12800000000000009</v>
      </c>
      <c r="R192" s="276">
        <v>0.1875</v>
      </c>
      <c r="S192" s="533"/>
      <c r="T192"/>
      <c r="U192"/>
      <c r="V192"/>
      <c r="W192"/>
    </row>
    <row r="193" spans="15:23">
      <c r="O193" s="340"/>
      <c r="Q193" s="275">
        <f t="shared" ref="Q193:Q256" si="23">Q192+0.001</f>
        <v>0.12900000000000009</v>
      </c>
      <c r="R193" s="276">
        <v>0.1875</v>
      </c>
      <c r="S193" s="533"/>
      <c r="T193"/>
      <c r="U193"/>
      <c r="V193"/>
      <c r="W193"/>
    </row>
    <row r="194" spans="15:23">
      <c r="O194" s="340"/>
      <c r="Q194" s="275">
        <f t="shared" si="23"/>
        <v>0.13000000000000009</v>
      </c>
      <c r="R194" s="276">
        <v>0.1875</v>
      </c>
      <c r="S194" s="533"/>
      <c r="T194"/>
      <c r="U194"/>
      <c r="V194"/>
      <c r="W194"/>
    </row>
    <row r="195" spans="15:23">
      <c r="O195" s="340"/>
      <c r="Q195" s="275">
        <f t="shared" si="23"/>
        <v>0.13100000000000009</v>
      </c>
      <c r="R195" s="276">
        <v>0.1875</v>
      </c>
      <c r="S195" s="533"/>
      <c r="T195"/>
      <c r="U195"/>
      <c r="V195"/>
      <c r="W195"/>
    </row>
    <row r="196" spans="15:23">
      <c r="O196" s="340"/>
      <c r="Q196" s="275">
        <f t="shared" si="23"/>
        <v>0.13200000000000009</v>
      </c>
      <c r="R196" s="276">
        <v>0.1875</v>
      </c>
      <c r="S196" s="533"/>
      <c r="T196"/>
      <c r="U196"/>
      <c r="V196"/>
      <c r="W196"/>
    </row>
    <row r="197" spans="15:23">
      <c r="O197" s="340"/>
      <c r="Q197" s="275">
        <f t="shared" si="23"/>
        <v>0.13300000000000009</v>
      </c>
      <c r="R197" s="276">
        <v>0.1875</v>
      </c>
      <c r="S197" s="533"/>
      <c r="T197"/>
      <c r="U197"/>
      <c r="V197"/>
      <c r="W197"/>
    </row>
    <row r="198" spans="15:23">
      <c r="O198" s="340"/>
      <c r="Q198" s="275">
        <f t="shared" si="23"/>
        <v>0.13400000000000009</v>
      </c>
      <c r="R198" s="276">
        <v>0.1875</v>
      </c>
      <c r="S198" s="533"/>
      <c r="T198"/>
      <c r="U198"/>
      <c r="V198"/>
      <c r="W198"/>
    </row>
    <row r="199" spans="15:23">
      <c r="O199" s="340"/>
      <c r="Q199" s="275">
        <f t="shared" si="23"/>
        <v>0.13500000000000009</v>
      </c>
      <c r="R199" s="276">
        <v>0.1875</v>
      </c>
      <c r="S199" s="533"/>
      <c r="T199"/>
      <c r="U199"/>
      <c r="V199"/>
      <c r="W199"/>
    </row>
    <row r="200" spans="15:23">
      <c r="O200" s="340"/>
      <c r="Q200" s="275">
        <f t="shared" si="23"/>
        <v>0.13600000000000009</v>
      </c>
      <c r="R200" s="276">
        <v>0.1875</v>
      </c>
      <c r="S200" s="533"/>
      <c r="T200"/>
      <c r="U200"/>
      <c r="V200"/>
      <c r="W200"/>
    </row>
    <row r="201" spans="15:23">
      <c r="O201" s="340"/>
      <c r="Q201" s="275">
        <f t="shared" si="23"/>
        <v>0.13700000000000009</v>
      </c>
      <c r="R201" s="276">
        <v>0.1875</v>
      </c>
      <c r="S201" s="533"/>
      <c r="T201"/>
      <c r="U201"/>
      <c r="V201"/>
      <c r="W201"/>
    </row>
    <row r="202" spans="15:23">
      <c r="O202" s="340"/>
      <c r="Q202" s="275">
        <f t="shared" si="23"/>
        <v>0.13800000000000009</v>
      </c>
      <c r="R202" s="276">
        <v>0.1875</v>
      </c>
      <c r="S202" s="533"/>
      <c r="T202"/>
      <c r="U202"/>
      <c r="V202"/>
      <c r="W202"/>
    </row>
    <row r="203" spans="15:23">
      <c r="O203" s="340"/>
      <c r="Q203" s="275">
        <f t="shared" si="23"/>
        <v>0.1390000000000001</v>
      </c>
      <c r="R203" s="276">
        <v>0.1875</v>
      </c>
      <c r="S203" s="533"/>
      <c r="T203"/>
      <c r="U203"/>
      <c r="V203"/>
      <c r="W203"/>
    </row>
    <row r="204" spans="15:23">
      <c r="O204" s="340"/>
      <c r="Q204" s="275">
        <f t="shared" si="23"/>
        <v>0.1400000000000001</v>
      </c>
      <c r="R204" s="276">
        <v>0.1875</v>
      </c>
      <c r="S204" s="533"/>
      <c r="T204"/>
      <c r="U204"/>
      <c r="V204"/>
      <c r="W204"/>
    </row>
    <row r="205" spans="15:23">
      <c r="O205" s="340"/>
      <c r="Q205" s="275">
        <f t="shared" si="23"/>
        <v>0.1410000000000001</v>
      </c>
      <c r="R205" s="276">
        <v>0.1875</v>
      </c>
      <c r="S205" s="533"/>
      <c r="T205"/>
      <c r="U205"/>
      <c r="V205"/>
      <c r="W205"/>
    </row>
    <row r="206" spans="15:23">
      <c r="O206" s="340"/>
      <c r="Q206" s="275">
        <f t="shared" si="23"/>
        <v>0.1420000000000001</v>
      </c>
      <c r="R206" s="276">
        <v>0.1875</v>
      </c>
      <c r="S206" s="533"/>
      <c r="T206"/>
      <c r="U206"/>
      <c r="V206"/>
      <c r="W206"/>
    </row>
    <row r="207" spans="15:23">
      <c r="O207" s="340"/>
      <c r="Q207" s="275">
        <f t="shared" si="23"/>
        <v>0.1430000000000001</v>
      </c>
      <c r="R207" s="276">
        <v>0.1875</v>
      </c>
      <c r="S207" s="533"/>
      <c r="T207"/>
      <c r="U207"/>
      <c r="V207"/>
      <c r="W207"/>
    </row>
    <row r="208" spans="15:23">
      <c r="O208" s="340"/>
      <c r="Q208" s="275">
        <f t="shared" si="23"/>
        <v>0.1440000000000001</v>
      </c>
      <c r="R208" s="276">
        <v>0.1875</v>
      </c>
      <c r="S208" s="533"/>
      <c r="T208"/>
      <c r="U208"/>
      <c r="V208"/>
      <c r="W208"/>
    </row>
    <row r="209" spans="15:23">
      <c r="O209" s="340"/>
      <c r="Q209" s="275">
        <f t="shared" si="23"/>
        <v>0.1450000000000001</v>
      </c>
      <c r="R209" s="276">
        <v>0.1875</v>
      </c>
      <c r="S209" s="533"/>
      <c r="T209"/>
      <c r="U209"/>
      <c r="V209"/>
      <c r="W209"/>
    </row>
    <row r="210" spans="15:23">
      <c r="O210" s="340"/>
      <c r="Q210" s="275">
        <f t="shared" si="23"/>
        <v>0.1460000000000001</v>
      </c>
      <c r="R210" s="276">
        <v>0.1875</v>
      </c>
      <c r="S210" s="533"/>
      <c r="T210"/>
      <c r="U210"/>
      <c r="V210"/>
      <c r="W210"/>
    </row>
    <row r="211" spans="15:23">
      <c r="O211" s="340"/>
      <c r="Q211" s="275">
        <f t="shared" si="23"/>
        <v>0.1470000000000001</v>
      </c>
      <c r="R211" s="276">
        <v>0.1875</v>
      </c>
      <c r="S211" s="533"/>
      <c r="T211"/>
      <c r="U211"/>
      <c r="V211"/>
      <c r="W211"/>
    </row>
    <row r="212" spans="15:23">
      <c r="O212" s="340"/>
      <c r="Q212" s="275">
        <f t="shared" si="23"/>
        <v>0.1480000000000001</v>
      </c>
      <c r="R212" s="276">
        <v>0.1875</v>
      </c>
      <c r="S212" s="533"/>
      <c r="T212"/>
      <c r="U212"/>
      <c r="V212"/>
      <c r="W212"/>
    </row>
    <row r="213" spans="15:23">
      <c r="O213" s="340"/>
      <c r="Q213" s="275">
        <f t="shared" si="23"/>
        <v>0.1490000000000001</v>
      </c>
      <c r="R213" s="276">
        <v>0.1875</v>
      </c>
      <c r="S213" s="533"/>
      <c r="T213"/>
      <c r="U213"/>
      <c r="V213"/>
      <c r="W213"/>
    </row>
    <row r="214" spans="15:23">
      <c r="O214" s="340"/>
      <c r="Q214" s="275">
        <f t="shared" si="23"/>
        <v>0.15000000000000011</v>
      </c>
      <c r="R214" s="276">
        <v>0.1875</v>
      </c>
      <c r="S214" s="533"/>
      <c r="T214"/>
      <c r="U214"/>
      <c r="V214"/>
      <c r="W214"/>
    </row>
    <row r="215" spans="15:23">
      <c r="O215" s="340"/>
      <c r="Q215" s="275">
        <f t="shared" si="23"/>
        <v>0.15100000000000011</v>
      </c>
      <c r="R215" s="276">
        <v>0.1875</v>
      </c>
      <c r="S215" s="533"/>
      <c r="T215"/>
      <c r="U215"/>
      <c r="V215"/>
      <c r="W215"/>
    </row>
    <row r="216" spans="15:23">
      <c r="O216" s="340"/>
      <c r="Q216" s="275">
        <f t="shared" si="23"/>
        <v>0.15200000000000011</v>
      </c>
      <c r="R216" s="276">
        <v>0.1875</v>
      </c>
      <c r="S216" s="533"/>
      <c r="T216"/>
      <c r="U216"/>
      <c r="V216"/>
      <c r="W216"/>
    </row>
    <row r="217" spans="15:23">
      <c r="O217" s="340"/>
      <c r="Q217" s="275">
        <f t="shared" si="23"/>
        <v>0.15300000000000011</v>
      </c>
      <c r="R217" s="276">
        <v>0.1875</v>
      </c>
      <c r="S217" s="533"/>
      <c r="T217"/>
      <c r="U217"/>
      <c r="V217"/>
      <c r="W217"/>
    </row>
    <row r="218" spans="15:23">
      <c r="O218" s="340"/>
      <c r="Q218" s="275">
        <f t="shared" si="23"/>
        <v>0.15400000000000011</v>
      </c>
      <c r="R218" s="276">
        <v>0.1875</v>
      </c>
      <c r="S218" s="533"/>
      <c r="T218"/>
      <c r="U218"/>
      <c r="V218"/>
      <c r="W218"/>
    </row>
    <row r="219" spans="15:23">
      <c r="O219" s="340"/>
      <c r="Q219" s="275">
        <f t="shared" si="23"/>
        <v>0.15500000000000011</v>
      </c>
      <c r="R219" s="276">
        <v>0.1875</v>
      </c>
      <c r="S219" s="533"/>
      <c r="T219"/>
      <c r="U219"/>
      <c r="V219"/>
      <c r="W219"/>
    </row>
    <row r="220" spans="15:23">
      <c r="O220" s="340"/>
      <c r="Q220" s="275">
        <f t="shared" si="23"/>
        <v>0.15600000000000011</v>
      </c>
      <c r="R220" s="276">
        <v>0.1875</v>
      </c>
      <c r="S220" s="533"/>
      <c r="T220"/>
      <c r="U220"/>
      <c r="V220"/>
      <c r="W220"/>
    </row>
    <row r="221" spans="15:23">
      <c r="O221" s="340"/>
      <c r="Q221" s="275">
        <f t="shared" si="23"/>
        <v>0.15700000000000011</v>
      </c>
      <c r="R221" s="276">
        <v>0.1875</v>
      </c>
      <c r="S221" s="533"/>
      <c r="T221"/>
      <c r="U221"/>
      <c r="V221"/>
      <c r="W221"/>
    </row>
    <row r="222" spans="15:23">
      <c r="O222" s="340"/>
      <c r="Q222" s="275">
        <f t="shared" si="23"/>
        <v>0.15800000000000011</v>
      </c>
      <c r="R222" s="276">
        <v>0.1875</v>
      </c>
      <c r="S222" s="533"/>
      <c r="T222"/>
      <c r="U222"/>
      <c r="V222"/>
      <c r="W222"/>
    </row>
    <row r="223" spans="15:23">
      <c r="O223" s="340"/>
      <c r="Q223" s="275">
        <f t="shared" si="23"/>
        <v>0.15900000000000011</v>
      </c>
      <c r="R223" s="276">
        <v>0.1875</v>
      </c>
      <c r="S223" s="533"/>
      <c r="T223"/>
      <c r="U223"/>
      <c r="V223"/>
      <c r="W223"/>
    </row>
    <row r="224" spans="15:23">
      <c r="O224" s="340"/>
      <c r="Q224" s="275">
        <f t="shared" si="23"/>
        <v>0.16000000000000011</v>
      </c>
      <c r="R224" s="276">
        <f t="shared" ref="R224:R255" si="24">1/4</f>
        <v>0.25</v>
      </c>
      <c r="S224" s="533"/>
      <c r="T224"/>
      <c r="U224"/>
      <c r="V224"/>
      <c r="W224"/>
    </row>
    <row r="225" spans="15:23">
      <c r="O225" s="340"/>
      <c r="Q225" s="275">
        <f t="shared" si="23"/>
        <v>0.16100000000000012</v>
      </c>
      <c r="R225" s="276">
        <f t="shared" si="24"/>
        <v>0.25</v>
      </c>
      <c r="S225" s="533"/>
      <c r="T225"/>
      <c r="U225"/>
      <c r="V225"/>
      <c r="W225"/>
    </row>
    <row r="226" spans="15:23">
      <c r="O226" s="340"/>
      <c r="Q226" s="275">
        <f t="shared" si="23"/>
        <v>0.16200000000000012</v>
      </c>
      <c r="R226" s="276">
        <f t="shared" si="24"/>
        <v>0.25</v>
      </c>
      <c r="S226" s="533"/>
      <c r="T226"/>
      <c r="U226"/>
      <c r="V226"/>
      <c r="W226"/>
    </row>
    <row r="227" spans="15:23">
      <c r="O227" s="340"/>
      <c r="Q227" s="275">
        <f t="shared" si="23"/>
        <v>0.16300000000000012</v>
      </c>
      <c r="R227" s="276">
        <f t="shared" si="24"/>
        <v>0.25</v>
      </c>
      <c r="S227" s="533"/>
      <c r="T227"/>
      <c r="U227"/>
      <c r="V227"/>
      <c r="W227"/>
    </row>
    <row r="228" spans="15:23">
      <c r="O228" s="340"/>
      <c r="Q228" s="275">
        <f t="shared" si="23"/>
        <v>0.16400000000000012</v>
      </c>
      <c r="R228" s="276">
        <f t="shared" si="24"/>
        <v>0.25</v>
      </c>
      <c r="S228" s="533"/>
      <c r="T228"/>
      <c r="U228"/>
      <c r="V228"/>
      <c r="W228"/>
    </row>
    <row r="229" spans="15:23">
      <c r="O229" s="340"/>
      <c r="Q229" s="275">
        <f t="shared" si="23"/>
        <v>0.16500000000000012</v>
      </c>
      <c r="R229" s="276">
        <f t="shared" si="24"/>
        <v>0.25</v>
      </c>
      <c r="S229" s="533"/>
      <c r="T229"/>
      <c r="U229"/>
      <c r="V229"/>
      <c r="W229"/>
    </row>
    <row r="230" spans="15:23">
      <c r="O230" s="340"/>
      <c r="Q230" s="275">
        <f t="shared" si="23"/>
        <v>0.16600000000000012</v>
      </c>
      <c r="R230" s="276">
        <f t="shared" si="24"/>
        <v>0.25</v>
      </c>
      <c r="S230" s="533"/>
      <c r="T230"/>
      <c r="U230"/>
      <c r="V230"/>
      <c r="W230"/>
    </row>
    <row r="231" spans="15:23">
      <c r="O231" s="340"/>
      <c r="Q231" s="275">
        <f t="shared" si="23"/>
        <v>0.16700000000000012</v>
      </c>
      <c r="R231" s="276">
        <f t="shared" si="24"/>
        <v>0.25</v>
      </c>
      <c r="S231" s="533"/>
      <c r="T231"/>
      <c r="U231"/>
      <c r="V231"/>
      <c r="W231"/>
    </row>
    <row r="232" spans="15:23">
      <c r="O232" s="340"/>
      <c r="Q232" s="275">
        <f t="shared" si="23"/>
        <v>0.16800000000000012</v>
      </c>
      <c r="R232" s="276">
        <f t="shared" si="24"/>
        <v>0.25</v>
      </c>
      <c r="S232" s="533"/>
      <c r="T232"/>
      <c r="U232"/>
      <c r="V232"/>
      <c r="W232"/>
    </row>
    <row r="233" spans="15:23">
      <c r="O233" s="340"/>
      <c r="Q233" s="275">
        <f t="shared" si="23"/>
        <v>0.16900000000000012</v>
      </c>
      <c r="R233" s="276">
        <f t="shared" si="24"/>
        <v>0.25</v>
      </c>
      <c r="S233" s="533"/>
      <c r="T233"/>
      <c r="U233"/>
      <c r="V233"/>
      <c r="W233"/>
    </row>
    <row r="234" spans="15:23">
      <c r="O234" s="340"/>
      <c r="Q234" s="275">
        <f t="shared" si="23"/>
        <v>0.17000000000000012</v>
      </c>
      <c r="R234" s="276">
        <f t="shared" si="24"/>
        <v>0.25</v>
      </c>
      <c r="S234" s="533"/>
      <c r="T234"/>
      <c r="U234"/>
      <c r="V234"/>
      <c r="W234"/>
    </row>
    <row r="235" spans="15:23">
      <c r="O235" s="340"/>
      <c r="Q235" s="275">
        <f t="shared" si="23"/>
        <v>0.17100000000000012</v>
      </c>
      <c r="R235" s="276">
        <f t="shared" si="24"/>
        <v>0.25</v>
      </c>
      <c r="S235" s="533"/>
      <c r="T235"/>
      <c r="U235"/>
      <c r="V235"/>
      <c r="W235"/>
    </row>
    <row r="236" spans="15:23">
      <c r="O236" s="340"/>
      <c r="Q236" s="275">
        <f t="shared" si="23"/>
        <v>0.17200000000000013</v>
      </c>
      <c r="R236" s="276">
        <f t="shared" si="24"/>
        <v>0.25</v>
      </c>
      <c r="S236" s="533"/>
      <c r="T236"/>
      <c r="U236"/>
      <c r="V236"/>
      <c r="W236"/>
    </row>
    <row r="237" spans="15:23">
      <c r="O237" s="340"/>
      <c r="Q237" s="275">
        <f t="shared" si="23"/>
        <v>0.17300000000000013</v>
      </c>
      <c r="R237" s="276">
        <f t="shared" si="24"/>
        <v>0.25</v>
      </c>
      <c r="S237" s="533"/>
      <c r="T237"/>
      <c r="U237"/>
      <c r="V237"/>
      <c r="W237"/>
    </row>
    <row r="238" spans="15:23">
      <c r="O238" s="340"/>
      <c r="Q238" s="275">
        <f t="shared" si="23"/>
        <v>0.17400000000000013</v>
      </c>
      <c r="R238" s="276">
        <f t="shared" si="24"/>
        <v>0.25</v>
      </c>
      <c r="S238" s="533"/>
      <c r="T238"/>
      <c r="U238"/>
      <c r="V238"/>
      <c r="W238"/>
    </row>
    <row r="239" spans="15:23">
      <c r="O239" s="340"/>
      <c r="Q239" s="275">
        <f t="shared" si="23"/>
        <v>0.17500000000000013</v>
      </c>
      <c r="R239" s="276">
        <f t="shared" si="24"/>
        <v>0.25</v>
      </c>
      <c r="S239" s="533"/>
      <c r="T239"/>
      <c r="U239"/>
      <c r="V239"/>
      <c r="W239"/>
    </row>
    <row r="240" spans="15:23">
      <c r="O240" s="340"/>
      <c r="Q240" s="275">
        <f t="shared" si="23"/>
        <v>0.17600000000000013</v>
      </c>
      <c r="R240" s="276">
        <f t="shared" si="24"/>
        <v>0.25</v>
      </c>
      <c r="S240" s="533"/>
      <c r="T240"/>
      <c r="U240"/>
      <c r="V240"/>
      <c r="W240"/>
    </row>
    <row r="241" spans="15:23">
      <c r="O241" s="340"/>
      <c r="Q241" s="275">
        <f t="shared" si="23"/>
        <v>0.17700000000000013</v>
      </c>
      <c r="R241" s="276">
        <f t="shared" si="24"/>
        <v>0.25</v>
      </c>
      <c r="S241" s="533"/>
      <c r="T241"/>
      <c r="U241"/>
      <c r="V241"/>
      <c r="W241"/>
    </row>
    <row r="242" spans="15:23">
      <c r="O242" s="340"/>
      <c r="Q242" s="275">
        <f t="shared" si="23"/>
        <v>0.17800000000000013</v>
      </c>
      <c r="R242" s="276">
        <f t="shared" si="24"/>
        <v>0.25</v>
      </c>
      <c r="S242" s="533"/>
      <c r="T242"/>
      <c r="U242"/>
      <c r="V242"/>
      <c r="W242"/>
    </row>
    <row r="243" spans="15:23">
      <c r="O243" s="340"/>
      <c r="Q243" s="275">
        <f t="shared" si="23"/>
        <v>0.17900000000000013</v>
      </c>
      <c r="R243" s="276">
        <f t="shared" si="24"/>
        <v>0.25</v>
      </c>
      <c r="S243" s="533"/>
      <c r="T243"/>
      <c r="U243"/>
      <c r="V243"/>
      <c r="W243"/>
    </row>
    <row r="244" spans="15:23">
      <c r="O244" s="340"/>
      <c r="Q244" s="275">
        <f t="shared" si="23"/>
        <v>0.18000000000000013</v>
      </c>
      <c r="R244" s="276">
        <f t="shared" si="24"/>
        <v>0.25</v>
      </c>
      <c r="S244" s="533"/>
      <c r="T244"/>
      <c r="U244"/>
      <c r="V244"/>
      <c r="W244"/>
    </row>
    <row r="245" spans="15:23">
      <c r="O245" s="340"/>
      <c r="Q245" s="275">
        <f t="shared" si="23"/>
        <v>0.18100000000000013</v>
      </c>
      <c r="R245" s="276">
        <f t="shared" si="24"/>
        <v>0.25</v>
      </c>
      <c r="S245" s="533"/>
      <c r="T245"/>
      <c r="U245"/>
      <c r="V245"/>
      <c r="W245"/>
    </row>
    <row r="246" spans="15:23">
      <c r="O246" s="340"/>
      <c r="Q246" s="275">
        <f t="shared" si="23"/>
        <v>0.18200000000000013</v>
      </c>
      <c r="R246" s="276">
        <f t="shared" si="24"/>
        <v>0.25</v>
      </c>
      <c r="S246" s="533"/>
      <c r="T246"/>
      <c r="U246"/>
      <c r="V246"/>
      <c r="W246"/>
    </row>
    <row r="247" spans="15:23">
      <c r="O247" s="340"/>
      <c r="Q247" s="275">
        <f t="shared" si="23"/>
        <v>0.18300000000000013</v>
      </c>
      <c r="R247" s="276">
        <f t="shared" si="24"/>
        <v>0.25</v>
      </c>
      <c r="S247" s="533"/>
      <c r="T247"/>
      <c r="U247"/>
      <c r="V247"/>
      <c r="W247"/>
    </row>
    <row r="248" spans="15:23">
      <c r="O248" s="340"/>
      <c r="Q248" s="275">
        <f t="shared" si="23"/>
        <v>0.18400000000000014</v>
      </c>
      <c r="R248" s="276">
        <f t="shared" si="24"/>
        <v>0.25</v>
      </c>
      <c r="S248" s="533"/>
      <c r="T248"/>
      <c r="U248"/>
      <c r="V248"/>
      <c r="W248"/>
    </row>
    <row r="249" spans="15:23">
      <c r="O249" s="340"/>
      <c r="Q249" s="275">
        <f t="shared" si="23"/>
        <v>0.18500000000000014</v>
      </c>
      <c r="R249" s="276">
        <f t="shared" si="24"/>
        <v>0.25</v>
      </c>
      <c r="S249" s="533"/>
      <c r="T249"/>
      <c r="U249"/>
      <c r="V249"/>
      <c r="W249"/>
    </row>
    <row r="250" spans="15:23">
      <c r="O250" s="340"/>
      <c r="Q250" s="275">
        <f t="shared" si="23"/>
        <v>0.18600000000000014</v>
      </c>
      <c r="R250" s="276">
        <f t="shared" si="24"/>
        <v>0.25</v>
      </c>
      <c r="S250" s="533"/>
      <c r="T250"/>
      <c r="U250"/>
      <c r="V250"/>
      <c r="W250"/>
    </row>
    <row r="251" spans="15:23">
      <c r="O251" s="340"/>
      <c r="Q251" s="275">
        <f t="shared" si="23"/>
        <v>0.18700000000000014</v>
      </c>
      <c r="R251" s="276">
        <f t="shared" si="24"/>
        <v>0.25</v>
      </c>
      <c r="S251" s="533"/>
      <c r="T251"/>
      <c r="U251"/>
      <c r="V251"/>
      <c r="W251"/>
    </row>
    <row r="252" spans="15:23">
      <c r="O252" s="340"/>
      <c r="Q252" s="275">
        <f t="shared" si="23"/>
        <v>0.18800000000000014</v>
      </c>
      <c r="R252" s="276">
        <f t="shared" si="24"/>
        <v>0.25</v>
      </c>
      <c r="S252" s="533"/>
      <c r="T252"/>
      <c r="U252"/>
      <c r="V252"/>
      <c r="W252"/>
    </row>
    <row r="253" spans="15:23">
      <c r="O253" s="340"/>
      <c r="Q253" s="275">
        <f t="shared" si="23"/>
        <v>0.18900000000000014</v>
      </c>
      <c r="R253" s="276">
        <f t="shared" si="24"/>
        <v>0.25</v>
      </c>
      <c r="S253" s="533"/>
      <c r="T253"/>
      <c r="U253"/>
      <c r="V253"/>
      <c r="W253"/>
    </row>
    <row r="254" spans="15:23">
      <c r="O254" s="340"/>
      <c r="Q254" s="275">
        <f t="shared" si="23"/>
        <v>0.19000000000000014</v>
      </c>
      <c r="R254" s="276">
        <f t="shared" si="24"/>
        <v>0.25</v>
      </c>
      <c r="S254" s="533"/>
      <c r="T254"/>
      <c r="U254"/>
      <c r="V254"/>
      <c r="W254"/>
    </row>
    <row r="255" spans="15:23">
      <c r="O255" s="340"/>
      <c r="Q255" s="275">
        <f t="shared" si="23"/>
        <v>0.19100000000000014</v>
      </c>
      <c r="R255" s="276">
        <f t="shared" si="24"/>
        <v>0.25</v>
      </c>
      <c r="S255" s="533"/>
      <c r="T255"/>
      <c r="U255"/>
      <c r="V255"/>
      <c r="W255"/>
    </row>
    <row r="256" spans="15:23">
      <c r="O256" s="340"/>
      <c r="Q256" s="275">
        <f t="shared" si="23"/>
        <v>0.19200000000000014</v>
      </c>
      <c r="R256" s="276">
        <f t="shared" ref="R256:R287" si="25">1/4</f>
        <v>0.25</v>
      </c>
      <c r="S256" s="533"/>
      <c r="T256"/>
      <c r="U256"/>
      <c r="V256"/>
      <c r="W256"/>
    </row>
    <row r="257" spans="15:23">
      <c r="O257" s="340"/>
      <c r="Q257" s="275">
        <f t="shared" ref="Q257:Q320" si="26">Q256+0.001</f>
        <v>0.19300000000000014</v>
      </c>
      <c r="R257" s="276">
        <f t="shared" si="25"/>
        <v>0.25</v>
      </c>
      <c r="S257" s="533"/>
      <c r="T257"/>
      <c r="U257"/>
      <c r="V257"/>
      <c r="W257"/>
    </row>
    <row r="258" spans="15:23">
      <c r="O258" s="340"/>
      <c r="Q258" s="275">
        <f t="shared" si="26"/>
        <v>0.19400000000000014</v>
      </c>
      <c r="R258" s="276">
        <f t="shared" si="25"/>
        <v>0.25</v>
      </c>
      <c r="S258" s="533"/>
      <c r="T258"/>
      <c r="U258"/>
      <c r="V258"/>
      <c r="W258"/>
    </row>
    <row r="259" spans="15:23">
      <c r="O259" s="340"/>
      <c r="Q259" s="275">
        <f t="shared" si="26"/>
        <v>0.19500000000000015</v>
      </c>
      <c r="R259" s="276">
        <f t="shared" si="25"/>
        <v>0.25</v>
      </c>
      <c r="S259" s="533"/>
      <c r="T259"/>
      <c r="U259"/>
      <c r="V259"/>
      <c r="W259"/>
    </row>
    <row r="260" spans="15:23">
      <c r="O260" s="340"/>
      <c r="Q260" s="275">
        <f t="shared" si="26"/>
        <v>0.19600000000000015</v>
      </c>
      <c r="R260" s="276">
        <f t="shared" si="25"/>
        <v>0.25</v>
      </c>
      <c r="S260" s="533"/>
      <c r="T260"/>
      <c r="U260"/>
      <c r="V260"/>
      <c r="W260"/>
    </row>
    <row r="261" spans="15:23">
      <c r="O261" s="340"/>
      <c r="Q261" s="275">
        <f t="shared" si="26"/>
        <v>0.19700000000000015</v>
      </c>
      <c r="R261" s="276">
        <f t="shared" si="25"/>
        <v>0.25</v>
      </c>
      <c r="S261" s="533"/>
      <c r="T261"/>
      <c r="U261"/>
      <c r="V261"/>
      <c r="W261"/>
    </row>
    <row r="262" spans="15:23">
      <c r="O262" s="340"/>
      <c r="Q262" s="275">
        <f t="shared" si="26"/>
        <v>0.19800000000000015</v>
      </c>
      <c r="R262" s="276">
        <f t="shared" si="25"/>
        <v>0.25</v>
      </c>
      <c r="S262" s="533"/>
      <c r="T262"/>
      <c r="U262"/>
      <c r="V262"/>
      <c r="W262"/>
    </row>
    <row r="263" spans="15:23">
      <c r="O263" s="340"/>
      <c r="Q263" s="275">
        <f t="shared" si="26"/>
        <v>0.19900000000000015</v>
      </c>
      <c r="R263" s="276">
        <f t="shared" si="25"/>
        <v>0.25</v>
      </c>
      <c r="S263" s="533"/>
      <c r="T263"/>
      <c r="U263"/>
      <c r="V263"/>
      <c r="W263"/>
    </row>
    <row r="264" spans="15:23">
      <c r="O264" s="340"/>
      <c r="Q264" s="275">
        <f t="shared" si="26"/>
        <v>0.20000000000000015</v>
      </c>
      <c r="R264" s="276">
        <f t="shared" si="25"/>
        <v>0.25</v>
      </c>
      <c r="S264" s="533"/>
      <c r="T264"/>
      <c r="U264"/>
      <c r="V264"/>
      <c r="W264"/>
    </row>
    <row r="265" spans="15:23">
      <c r="O265" s="340"/>
      <c r="Q265" s="275">
        <f t="shared" si="26"/>
        <v>0.20100000000000015</v>
      </c>
      <c r="R265" s="276">
        <f t="shared" si="25"/>
        <v>0.25</v>
      </c>
      <c r="S265" s="533"/>
      <c r="T265"/>
      <c r="U265"/>
      <c r="V265"/>
      <c r="W265"/>
    </row>
    <row r="266" spans="15:23">
      <c r="O266" s="340"/>
      <c r="Q266" s="275">
        <f t="shared" si="26"/>
        <v>0.20200000000000015</v>
      </c>
      <c r="R266" s="276">
        <f t="shared" si="25"/>
        <v>0.25</v>
      </c>
      <c r="S266" s="533"/>
      <c r="T266"/>
      <c r="U266"/>
      <c r="V266"/>
      <c r="W266"/>
    </row>
    <row r="267" spans="15:23">
      <c r="O267" s="340"/>
      <c r="Q267" s="275">
        <f t="shared" si="26"/>
        <v>0.20300000000000015</v>
      </c>
      <c r="R267" s="276">
        <f t="shared" si="25"/>
        <v>0.25</v>
      </c>
      <c r="S267" s="533"/>
      <c r="T267"/>
      <c r="U267"/>
      <c r="V267"/>
      <c r="W267"/>
    </row>
    <row r="268" spans="15:23">
      <c r="O268" s="340"/>
      <c r="Q268" s="275">
        <f t="shared" si="26"/>
        <v>0.20400000000000015</v>
      </c>
      <c r="R268" s="276">
        <f t="shared" si="25"/>
        <v>0.25</v>
      </c>
      <c r="S268" s="533"/>
      <c r="T268"/>
      <c r="U268"/>
      <c r="V268"/>
      <c r="W268"/>
    </row>
    <row r="269" spans="15:23">
      <c r="O269" s="340"/>
      <c r="Q269" s="275">
        <f t="shared" si="26"/>
        <v>0.20500000000000015</v>
      </c>
      <c r="R269" s="276">
        <f t="shared" si="25"/>
        <v>0.25</v>
      </c>
      <c r="S269" s="533"/>
      <c r="T269"/>
      <c r="U269"/>
      <c r="V269"/>
      <c r="W269"/>
    </row>
    <row r="270" spans="15:23">
      <c r="O270" s="340"/>
      <c r="Q270" s="275">
        <f t="shared" si="26"/>
        <v>0.20600000000000016</v>
      </c>
      <c r="R270" s="276">
        <f t="shared" si="25"/>
        <v>0.25</v>
      </c>
      <c r="S270" s="533"/>
      <c r="T270"/>
      <c r="U270"/>
      <c r="V270"/>
      <c r="W270"/>
    </row>
    <row r="271" spans="15:23">
      <c r="O271" s="340"/>
      <c r="Q271" s="275">
        <f t="shared" si="26"/>
        <v>0.20700000000000016</v>
      </c>
      <c r="R271" s="276">
        <f t="shared" si="25"/>
        <v>0.25</v>
      </c>
      <c r="S271" s="533"/>
      <c r="T271"/>
      <c r="U271"/>
      <c r="V271"/>
      <c r="W271"/>
    </row>
    <row r="272" spans="15:23">
      <c r="O272" s="340"/>
      <c r="Q272" s="275">
        <f t="shared" si="26"/>
        <v>0.20800000000000016</v>
      </c>
      <c r="R272" s="276">
        <f t="shared" si="25"/>
        <v>0.25</v>
      </c>
      <c r="S272" s="533"/>
      <c r="T272"/>
      <c r="U272"/>
      <c r="V272"/>
      <c r="W272"/>
    </row>
    <row r="273" spans="15:23">
      <c r="O273" s="340"/>
      <c r="Q273" s="275">
        <f t="shared" si="26"/>
        <v>0.20900000000000016</v>
      </c>
      <c r="R273" s="276">
        <f t="shared" si="25"/>
        <v>0.25</v>
      </c>
      <c r="S273" s="533"/>
      <c r="T273"/>
      <c r="U273"/>
      <c r="V273"/>
      <c r="W273"/>
    </row>
    <row r="274" spans="15:23">
      <c r="O274" s="340"/>
      <c r="Q274" s="275">
        <f t="shared" si="26"/>
        <v>0.21000000000000016</v>
      </c>
      <c r="R274" s="276">
        <f t="shared" si="25"/>
        <v>0.25</v>
      </c>
      <c r="S274" s="533"/>
      <c r="T274"/>
      <c r="U274"/>
      <c r="V274"/>
      <c r="W274"/>
    </row>
    <row r="275" spans="15:23">
      <c r="O275" s="340"/>
      <c r="Q275" s="275">
        <f t="shared" si="26"/>
        <v>0.21100000000000016</v>
      </c>
      <c r="R275" s="276">
        <f t="shared" si="25"/>
        <v>0.25</v>
      </c>
      <c r="S275" s="533"/>
      <c r="T275"/>
      <c r="U275"/>
      <c r="V275"/>
      <c r="W275"/>
    </row>
    <row r="276" spans="15:23">
      <c r="O276" s="340"/>
      <c r="Q276" s="275">
        <f t="shared" si="26"/>
        <v>0.21200000000000016</v>
      </c>
      <c r="R276" s="276">
        <f t="shared" si="25"/>
        <v>0.25</v>
      </c>
      <c r="S276" s="533"/>
      <c r="T276"/>
      <c r="U276"/>
      <c r="V276"/>
      <c r="W276"/>
    </row>
    <row r="277" spans="15:23">
      <c r="O277" s="340"/>
      <c r="Q277" s="275">
        <f t="shared" si="26"/>
        <v>0.21300000000000016</v>
      </c>
      <c r="R277" s="276">
        <f t="shared" si="25"/>
        <v>0.25</v>
      </c>
      <c r="S277" s="533"/>
      <c r="T277"/>
      <c r="U277"/>
      <c r="V277"/>
      <c r="W277"/>
    </row>
    <row r="278" spans="15:23">
      <c r="O278" s="340"/>
      <c r="Q278" s="275">
        <f t="shared" si="26"/>
        <v>0.21400000000000016</v>
      </c>
      <c r="R278" s="276">
        <f t="shared" si="25"/>
        <v>0.25</v>
      </c>
      <c r="S278" s="533"/>
      <c r="T278"/>
      <c r="U278"/>
      <c r="V278"/>
      <c r="W278"/>
    </row>
    <row r="279" spans="15:23">
      <c r="O279" s="340"/>
      <c r="Q279" s="275">
        <f t="shared" si="26"/>
        <v>0.21500000000000016</v>
      </c>
      <c r="R279" s="276">
        <f t="shared" si="25"/>
        <v>0.25</v>
      </c>
      <c r="S279" s="533"/>
      <c r="T279"/>
      <c r="U279"/>
      <c r="V279"/>
      <c r="W279"/>
    </row>
    <row r="280" spans="15:23">
      <c r="O280" s="340"/>
      <c r="Q280" s="275">
        <f t="shared" si="26"/>
        <v>0.21600000000000016</v>
      </c>
      <c r="R280" s="276">
        <f t="shared" si="25"/>
        <v>0.25</v>
      </c>
      <c r="S280" s="533"/>
      <c r="T280"/>
      <c r="U280"/>
      <c r="V280"/>
      <c r="W280"/>
    </row>
    <row r="281" spans="15:23">
      <c r="O281" s="340"/>
      <c r="Q281" s="275">
        <f t="shared" si="26"/>
        <v>0.21700000000000016</v>
      </c>
      <c r="R281" s="276">
        <f t="shared" si="25"/>
        <v>0.25</v>
      </c>
      <c r="S281" s="533"/>
      <c r="T281"/>
      <c r="U281"/>
      <c r="V281"/>
      <c r="W281"/>
    </row>
    <row r="282" spans="15:23">
      <c r="O282" s="340"/>
      <c r="Q282" s="275">
        <f t="shared" si="26"/>
        <v>0.21800000000000017</v>
      </c>
      <c r="R282" s="276">
        <f t="shared" si="25"/>
        <v>0.25</v>
      </c>
      <c r="S282" s="533"/>
      <c r="T282"/>
      <c r="U282"/>
      <c r="V282"/>
      <c r="W282"/>
    </row>
    <row r="283" spans="15:23">
      <c r="O283" s="340"/>
      <c r="Q283" s="275">
        <f t="shared" si="26"/>
        <v>0.21900000000000017</v>
      </c>
      <c r="R283" s="276">
        <f t="shared" si="25"/>
        <v>0.25</v>
      </c>
      <c r="S283" s="533"/>
      <c r="T283"/>
      <c r="U283"/>
      <c r="V283"/>
      <c r="W283"/>
    </row>
    <row r="284" spans="15:23">
      <c r="O284" s="340"/>
      <c r="Q284" s="275">
        <f t="shared" si="26"/>
        <v>0.22000000000000017</v>
      </c>
      <c r="R284" s="276">
        <f t="shared" si="25"/>
        <v>0.25</v>
      </c>
      <c r="S284" s="533"/>
      <c r="T284"/>
      <c r="U284"/>
      <c r="V284"/>
      <c r="W284"/>
    </row>
    <row r="285" spans="15:23">
      <c r="O285" s="340"/>
      <c r="Q285" s="275">
        <f t="shared" si="26"/>
        <v>0.22100000000000017</v>
      </c>
      <c r="R285" s="276">
        <f t="shared" si="25"/>
        <v>0.25</v>
      </c>
      <c r="S285" s="533"/>
      <c r="T285"/>
      <c r="U285"/>
      <c r="V285"/>
      <c r="W285"/>
    </row>
    <row r="286" spans="15:23">
      <c r="O286" s="340"/>
      <c r="Q286" s="275">
        <f t="shared" si="26"/>
        <v>0.22200000000000017</v>
      </c>
      <c r="R286" s="276">
        <f t="shared" si="25"/>
        <v>0.25</v>
      </c>
      <c r="S286" s="533"/>
      <c r="T286"/>
      <c r="U286"/>
      <c r="V286"/>
      <c r="W286"/>
    </row>
    <row r="287" spans="15:23">
      <c r="O287" s="340"/>
      <c r="Q287" s="275">
        <f t="shared" si="26"/>
        <v>0.22300000000000017</v>
      </c>
      <c r="R287" s="276">
        <f t="shared" si="25"/>
        <v>0.25</v>
      </c>
      <c r="S287" s="533"/>
      <c r="T287"/>
      <c r="U287"/>
      <c r="V287"/>
      <c r="W287"/>
    </row>
    <row r="288" spans="15:23">
      <c r="O288" s="340"/>
      <c r="Q288" s="275">
        <f t="shared" si="26"/>
        <v>0.22400000000000017</v>
      </c>
      <c r="R288" s="276">
        <f t="shared" ref="R288:R319" si="27">5/16</f>
        <v>0.3125</v>
      </c>
      <c r="S288" s="533"/>
      <c r="T288"/>
      <c r="U288"/>
      <c r="V288"/>
      <c r="W288"/>
    </row>
    <row r="289" spans="15:23">
      <c r="O289" s="340"/>
      <c r="Q289" s="275">
        <f t="shared" si="26"/>
        <v>0.22500000000000017</v>
      </c>
      <c r="R289" s="276">
        <f t="shared" si="27"/>
        <v>0.3125</v>
      </c>
      <c r="S289" s="533"/>
      <c r="T289"/>
      <c r="U289"/>
      <c r="V289"/>
      <c r="W289"/>
    </row>
    <row r="290" spans="15:23">
      <c r="O290" s="340"/>
      <c r="Q290" s="275">
        <f t="shared" si="26"/>
        <v>0.22600000000000017</v>
      </c>
      <c r="R290" s="276">
        <f t="shared" si="27"/>
        <v>0.3125</v>
      </c>
      <c r="S290" s="533"/>
      <c r="T290"/>
      <c r="U290"/>
      <c r="V290"/>
      <c r="W290"/>
    </row>
    <row r="291" spans="15:23">
      <c r="O291" s="340"/>
      <c r="Q291" s="275">
        <f t="shared" si="26"/>
        <v>0.22700000000000017</v>
      </c>
      <c r="R291" s="276">
        <f t="shared" si="27"/>
        <v>0.3125</v>
      </c>
      <c r="S291" s="533"/>
      <c r="T291"/>
      <c r="U291"/>
      <c r="V291"/>
      <c r="W291"/>
    </row>
    <row r="292" spans="15:23">
      <c r="O292" s="340"/>
      <c r="Q292" s="275">
        <f t="shared" si="26"/>
        <v>0.22800000000000017</v>
      </c>
      <c r="R292" s="276">
        <f t="shared" si="27"/>
        <v>0.3125</v>
      </c>
      <c r="S292" s="533"/>
      <c r="T292"/>
      <c r="U292"/>
      <c r="V292"/>
      <c r="W292"/>
    </row>
    <row r="293" spans="15:23">
      <c r="O293" s="340"/>
      <c r="Q293" s="275">
        <f t="shared" si="26"/>
        <v>0.22900000000000018</v>
      </c>
      <c r="R293" s="276">
        <f t="shared" si="27"/>
        <v>0.3125</v>
      </c>
      <c r="S293" s="533"/>
      <c r="T293"/>
      <c r="U293"/>
      <c r="V293"/>
      <c r="W293"/>
    </row>
    <row r="294" spans="15:23">
      <c r="O294" s="340"/>
      <c r="Q294" s="275">
        <f t="shared" si="26"/>
        <v>0.23000000000000018</v>
      </c>
      <c r="R294" s="276">
        <f t="shared" si="27"/>
        <v>0.3125</v>
      </c>
      <c r="S294" s="533"/>
      <c r="T294"/>
      <c r="U294"/>
      <c r="V294"/>
      <c r="W294"/>
    </row>
    <row r="295" spans="15:23">
      <c r="O295" s="340"/>
      <c r="Q295" s="275">
        <f t="shared" si="26"/>
        <v>0.23100000000000018</v>
      </c>
      <c r="R295" s="276">
        <f t="shared" si="27"/>
        <v>0.3125</v>
      </c>
      <c r="S295" s="533"/>
      <c r="T295"/>
      <c r="U295"/>
      <c r="V295"/>
      <c r="W295"/>
    </row>
    <row r="296" spans="15:23">
      <c r="O296" s="340"/>
      <c r="Q296" s="275">
        <f t="shared" si="26"/>
        <v>0.23200000000000018</v>
      </c>
      <c r="R296" s="276">
        <f t="shared" si="27"/>
        <v>0.3125</v>
      </c>
      <c r="S296" s="533"/>
      <c r="T296"/>
      <c r="U296"/>
      <c r="V296"/>
      <c r="W296"/>
    </row>
    <row r="297" spans="15:23">
      <c r="O297" s="340"/>
      <c r="Q297" s="275">
        <f t="shared" si="26"/>
        <v>0.23300000000000018</v>
      </c>
      <c r="R297" s="276">
        <f t="shared" si="27"/>
        <v>0.3125</v>
      </c>
      <c r="S297" s="533"/>
      <c r="T297"/>
      <c r="U297"/>
      <c r="V297"/>
      <c r="W297"/>
    </row>
    <row r="298" spans="15:23">
      <c r="O298" s="340"/>
      <c r="Q298" s="275">
        <f t="shared" si="26"/>
        <v>0.23400000000000018</v>
      </c>
      <c r="R298" s="276">
        <f t="shared" si="27"/>
        <v>0.3125</v>
      </c>
      <c r="S298" s="533"/>
      <c r="T298"/>
      <c r="U298"/>
      <c r="V298"/>
      <c r="W298"/>
    </row>
    <row r="299" spans="15:23">
      <c r="O299" s="340"/>
      <c r="Q299" s="275">
        <f t="shared" si="26"/>
        <v>0.23500000000000018</v>
      </c>
      <c r="R299" s="276">
        <f t="shared" si="27"/>
        <v>0.3125</v>
      </c>
      <c r="S299" s="533"/>
      <c r="T299"/>
      <c r="U299"/>
      <c r="V299"/>
      <c r="W299"/>
    </row>
    <row r="300" spans="15:23">
      <c r="O300" s="340"/>
      <c r="Q300" s="275">
        <f t="shared" si="26"/>
        <v>0.23600000000000018</v>
      </c>
      <c r="R300" s="276">
        <f t="shared" si="27"/>
        <v>0.3125</v>
      </c>
      <c r="S300" s="533"/>
      <c r="T300"/>
      <c r="U300"/>
      <c r="V300"/>
      <c r="W300"/>
    </row>
    <row r="301" spans="15:23">
      <c r="O301" s="340"/>
      <c r="Q301" s="275">
        <f t="shared" si="26"/>
        <v>0.23700000000000018</v>
      </c>
      <c r="R301" s="276">
        <f t="shared" si="27"/>
        <v>0.3125</v>
      </c>
      <c r="S301" s="533"/>
      <c r="T301"/>
      <c r="U301"/>
      <c r="V301"/>
      <c r="W301"/>
    </row>
    <row r="302" spans="15:23">
      <c r="O302" s="340"/>
      <c r="Q302" s="275">
        <f t="shared" si="26"/>
        <v>0.23800000000000018</v>
      </c>
      <c r="R302" s="276">
        <f t="shared" si="27"/>
        <v>0.3125</v>
      </c>
      <c r="S302" s="533"/>
      <c r="T302"/>
      <c r="U302"/>
      <c r="V302"/>
      <c r="W302"/>
    </row>
    <row r="303" spans="15:23">
      <c r="O303" s="340"/>
      <c r="Q303" s="275">
        <f t="shared" si="26"/>
        <v>0.23900000000000018</v>
      </c>
      <c r="R303" s="276">
        <f t="shared" si="27"/>
        <v>0.3125</v>
      </c>
      <c r="S303" s="533"/>
      <c r="T303"/>
      <c r="U303"/>
      <c r="V303"/>
      <c r="W303"/>
    </row>
    <row r="304" spans="15:23">
      <c r="O304" s="340"/>
      <c r="Q304" s="275">
        <f t="shared" si="26"/>
        <v>0.24000000000000019</v>
      </c>
      <c r="R304" s="276">
        <f t="shared" si="27"/>
        <v>0.3125</v>
      </c>
      <c r="S304" s="533"/>
      <c r="T304"/>
      <c r="U304"/>
      <c r="V304"/>
      <c r="W304"/>
    </row>
    <row r="305" spans="15:23">
      <c r="O305" s="340"/>
      <c r="Q305" s="275">
        <f t="shared" si="26"/>
        <v>0.24100000000000019</v>
      </c>
      <c r="R305" s="276">
        <f t="shared" si="27"/>
        <v>0.3125</v>
      </c>
      <c r="S305" s="533"/>
      <c r="T305"/>
      <c r="U305"/>
      <c r="V305"/>
      <c r="W305"/>
    </row>
    <row r="306" spans="15:23">
      <c r="O306" s="340"/>
      <c r="Q306" s="275">
        <f t="shared" si="26"/>
        <v>0.24200000000000019</v>
      </c>
      <c r="R306" s="276">
        <f t="shared" si="27"/>
        <v>0.3125</v>
      </c>
      <c r="S306" s="533"/>
      <c r="T306"/>
      <c r="U306"/>
      <c r="V306"/>
      <c r="W306"/>
    </row>
    <row r="307" spans="15:23">
      <c r="O307" s="340"/>
      <c r="Q307" s="275">
        <f t="shared" si="26"/>
        <v>0.24300000000000019</v>
      </c>
      <c r="R307" s="276">
        <f t="shared" si="27"/>
        <v>0.3125</v>
      </c>
      <c r="S307" s="533"/>
      <c r="T307"/>
      <c r="U307"/>
      <c r="V307"/>
      <c r="W307"/>
    </row>
    <row r="308" spans="15:23">
      <c r="O308" s="340"/>
      <c r="Q308" s="275">
        <f t="shared" si="26"/>
        <v>0.24400000000000019</v>
      </c>
      <c r="R308" s="276">
        <f t="shared" si="27"/>
        <v>0.3125</v>
      </c>
      <c r="S308" s="533"/>
      <c r="T308"/>
      <c r="U308"/>
      <c r="V308"/>
      <c r="W308"/>
    </row>
    <row r="309" spans="15:23">
      <c r="O309" s="340"/>
      <c r="Q309" s="275">
        <f t="shared" si="26"/>
        <v>0.24500000000000019</v>
      </c>
      <c r="R309" s="276">
        <f t="shared" si="27"/>
        <v>0.3125</v>
      </c>
      <c r="S309" s="533"/>
      <c r="T309"/>
      <c r="U309"/>
      <c r="V309"/>
      <c r="W309"/>
    </row>
    <row r="310" spans="15:23">
      <c r="O310" s="340"/>
      <c r="Q310" s="275">
        <f t="shared" si="26"/>
        <v>0.24600000000000019</v>
      </c>
      <c r="R310" s="276">
        <f t="shared" si="27"/>
        <v>0.3125</v>
      </c>
      <c r="S310" s="533"/>
      <c r="T310"/>
      <c r="U310"/>
      <c r="V310"/>
      <c r="W310"/>
    </row>
    <row r="311" spans="15:23">
      <c r="O311" s="340"/>
      <c r="Q311" s="275">
        <f t="shared" si="26"/>
        <v>0.24700000000000019</v>
      </c>
      <c r="R311" s="276">
        <f t="shared" si="27"/>
        <v>0.3125</v>
      </c>
      <c r="S311" s="533"/>
      <c r="T311"/>
      <c r="U311"/>
      <c r="V311"/>
      <c r="W311"/>
    </row>
    <row r="312" spans="15:23">
      <c r="O312" s="340"/>
      <c r="Q312" s="275">
        <f t="shared" si="26"/>
        <v>0.24800000000000019</v>
      </c>
      <c r="R312" s="276">
        <f t="shared" si="27"/>
        <v>0.3125</v>
      </c>
      <c r="S312" s="533"/>
      <c r="T312"/>
      <c r="U312"/>
      <c r="V312"/>
      <c r="W312"/>
    </row>
    <row r="313" spans="15:23">
      <c r="O313" s="340"/>
      <c r="Q313" s="275">
        <f t="shared" si="26"/>
        <v>0.24900000000000019</v>
      </c>
      <c r="R313" s="276">
        <f t="shared" si="27"/>
        <v>0.3125</v>
      </c>
      <c r="S313" s="533"/>
      <c r="T313"/>
      <c r="U313"/>
      <c r="V313"/>
      <c r="W313"/>
    </row>
    <row r="314" spans="15:23">
      <c r="O314" s="340"/>
      <c r="Q314" s="275">
        <f t="shared" si="26"/>
        <v>0.25000000000000017</v>
      </c>
      <c r="R314" s="276">
        <f t="shared" si="27"/>
        <v>0.3125</v>
      </c>
      <c r="S314" s="533"/>
      <c r="T314"/>
      <c r="U314"/>
      <c r="V314"/>
      <c r="W314"/>
    </row>
    <row r="315" spans="15:23">
      <c r="O315" s="340"/>
      <c r="Q315" s="275">
        <f t="shared" si="26"/>
        <v>0.25100000000000017</v>
      </c>
      <c r="R315" s="276">
        <f t="shared" si="27"/>
        <v>0.3125</v>
      </c>
      <c r="S315" s="533"/>
      <c r="T315"/>
      <c r="U315"/>
      <c r="V315"/>
      <c r="W315"/>
    </row>
    <row r="316" spans="15:23">
      <c r="O316" s="340"/>
      <c r="Q316" s="275">
        <f t="shared" si="26"/>
        <v>0.25200000000000017</v>
      </c>
      <c r="R316" s="276">
        <f t="shared" si="27"/>
        <v>0.3125</v>
      </c>
      <c r="S316" s="533"/>
      <c r="T316"/>
      <c r="U316"/>
      <c r="V316"/>
      <c r="W316"/>
    </row>
    <row r="317" spans="15:23">
      <c r="O317" s="340"/>
      <c r="Q317" s="275">
        <f t="shared" si="26"/>
        <v>0.25300000000000017</v>
      </c>
      <c r="R317" s="276">
        <f t="shared" si="27"/>
        <v>0.3125</v>
      </c>
      <c r="S317" s="533"/>
      <c r="T317"/>
      <c r="U317"/>
      <c r="V317"/>
      <c r="W317"/>
    </row>
    <row r="318" spans="15:23">
      <c r="O318" s="340"/>
      <c r="Q318" s="275">
        <f t="shared" si="26"/>
        <v>0.25400000000000017</v>
      </c>
      <c r="R318" s="276">
        <f t="shared" si="27"/>
        <v>0.3125</v>
      </c>
      <c r="S318" s="533"/>
      <c r="T318"/>
      <c r="U318"/>
      <c r="V318"/>
      <c r="W318"/>
    </row>
    <row r="319" spans="15:23">
      <c r="O319" s="340"/>
      <c r="Q319" s="275">
        <f t="shared" si="26"/>
        <v>0.25500000000000017</v>
      </c>
      <c r="R319" s="276">
        <f t="shared" si="27"/>
        <v>0.3125</v>
      </c>
      <c r="S319" s="533"/>
      <c r="T319"/>
      <c r="U319"/>
      <c r="V319"/>
      <c r="W319"/>
    </row>
    <row r="320" spans="15:23">
      <c r="O320" s="340"/>
      <c r="Q320" s="275">
        <f t="shared" si="26"/>
        <v>0.25600000000000017</v>
      </c>
      <c r="R320" s="276">
        <f t="shared" ref="R320:R349" si="28">5/16</f>
        <v>0.3125</v>
      </c>
      <c r="S320" s="533"/>
      <c r="T320"/>
      <c r="U320"/>
      <c r="V320"/>
      <c r="W320"/>
    </row>
    <row r="321" spans="15:23">
      <c r="O321" s="340"/>
      <c r="Q321" s="275">
        <f t="shared" ref="Q321:Q384" si="29">Q320+0.001</f>
        <v>0.25700000000000017</v>
      </c>
      <c r="R321" s="276">
        <f t="shared" si="28"/>
        <v>0.3125</v>
      </c>
      <c r="S321" s="533"/>
      <c r="T321"/>
      <c r="U321"/>
      <c r="V321"/>
      <c r="W321"/>
    </row>
    <row r="322" spans="15:23">
      <c r="O322" s="340"/>
      <c r="Q322" s="275">
        <f t="shared" si="29"/>
        <v>0.25800000000000017</v>
      </c>
      <c r="R322" s="276">
        <f t="shared" si="28"/>
        <v>0.3125</v>
      </c>
      <c r="S322" s="533"/>
      <c r="T322"/>
      <c r="U322"/>
      <c r="V322"/>
      <c r="W322"/>
    </row>
    <row r="323" spans="15:23">
      <c r="O323" s="340"/>
      <c r="Q323" s="275">
        <f t="shared" si="29"/>
        <v>0.25900000000000017</v>
      </c>
      <c r="R323" s="276">
        <f t="shared" si="28"/>
        <v>0.3125</v>
      </c>
      <c r="S323" s="533"/>
      <c r="T323"/>
      <c r="U323"/>
      <c r="V323"/>
      <c r="W323"/>
    </row>
    <row r="324" spans="15:23">
      <c r="O324" s="340"/>
      <c r="Q324" s="275">
        <f t="shared" si="29"/>
        <v>0.26000000000000018</v>
      </c>
      <c r="R324" s="276">
        <f t="shared" si="28"/>
        <v>0.3125</v>
      </c>
      <c r="S324" s="533"/>
      <c r="T324"/>
      <c r="U324"/>
      <c r="V324"/>
      <c r="W324"/>
    </row>
    <row r="325" spans="15:23">
      <c r="O325" s="340"/>
      <c r="Q325" s="275">
        <f t="shared" si="29"/>
        <v>0.26100000000000018</v>
      </c>
      <c r="R325" s="276">
        <f t="shared" si="28"/>
        <v>0.3125</v>
      </c>
      <c r="S325" s="533"/>
      <c r="T325"/>
      <c r="U325"/>
      <c r="V325"/>
      <c r="W325"/>
    </row>
    <row r="326" spans="15:23">
      <c r="O326" s="340"/>
      <c r="Q326" s="275">
        <f t="shared" si="29"/>
        <v>0.26200000000000018</v>
      </c>
      <c r="R326" s="276">
        <f t="shared" si="28"/>
        <v>0.3125</v>
      </c>
      <c r="S326" s="533"/>
      <c r="T326"/>
      <c r="U326"/>
      <c r="V326"/>
      <c r="W326"/>
    </row>
    <row r="327" spans="15:23">
      <c r="O327" s="340"/>
      <c r="Q327" s="275">
        <f t="shared" si="29"/>
        <v>0.26300000000000018</v>
      </c>
      <c r="R327" s="276">
        <f t="shared" si="28"/>
        <v>0.3125</v>
      </c>
      <c r="S327" s="533"/>
      <c r="T327"/>
      <c r="U327"/>
      <c r="V327"/>
      <c r="W327"/>
    </row>
    <row r="328" spans="15:23">
      <c r="O328" s="340"/>
      <c r="Q328" s="275">
        <f t="shared" si="29"/>
        <v>0.26400000000000018</v>
      </c>
      <c r="R328" s="276">
        <f t="shared" si="28"/>
        <v>0.3125</v>
      </c>
      <c r="S328" s="533"/>
      <c r="T328"/>
      <c r="U328"/>
      <c r="V328"/>
      <c r="W328"/>
    </row>
    <row r="329" spans="15:23">
      <c r="O329" s="340"/>
      <c r="Q329" s="275">
        <f t="shared" si="29"/>
        <v>0.26500000000000018</v>
      </c>
      <c r="R329" s="276">
        <f t="shared" si="28"/>
        <v>0.3125</v>
      </c>
      <c r="S329" s="533"/>
      <c r="T329"/>
      <c r="U329"/>
      <c r="V329"/>
      <c r="W329"/>
    </row>
    <row r="330" spans="15:23">
      <c r="O330" s="340"/>
      <c r="Q330" s="275">
        <f t="shared" si="29"/>
        <v>0.26600000000000018</v>
      </c>
      <c r="R330" s="276">
        <f t="shared" si="28"/>
        <v>0.3125</v>
      </c>
      <c r="S330" s="533"/>
      <c r="T330"/>
      <c r="U330"/>
      <c r="V330"/>
      <c r="W330"/>
    </row>
    <row r="331" spans="15:23">
      <c r="O331" s="340"/>
      <c r="Q331" s="275">
        <f t="shared" si="29"/>
        <v>0.26700000000000018</v>
      </c>
      <c r="R331" s="276">
        <f t="shared" si="28"/>
        <v>0.3125</v>
      </c>
      <c r="S331" s="533"/>
      <c r="T331"/>
      <c r="U331"/>
      <c r="V331"/>
      <c r="W331"/>
    </row>
    <row r="332" spans="15:23">
      <c r="O332" s="340"/>
      <c r="Q332" s="275">
        <f t="shared" si="29"/>
        <v>0.26800000000000018</v>
      </c>
      <c r="R332" s="276">
        <f t="shared" si="28"/>
        <v>0.3125</v>
      </c>
      <c r="S332" s="533"/>
      <c r="T332"/>
      <c r="U332"/>
      <c r="V332"/>
      <c r="W332"/>
    </row>
    <row r="333" spans="15:23">
      <c r="O333" s="340"/>
      <c r="Q333" s="275">
        <f t="shared" si="29"/>
        <v>0.26900000000000018</v>
      </c>
      <c r="R333" s="276">
        <f t="shared" si="28"/>
        <v>0.3125</v>
      </c>
      <c r="S333" s="533"/>
      <c r="T333"/>
      <c r="U333"/>
      <c r="V333"/>
      <c r="W333"/>
    </row>
    <row r="334" spans="15:23">
      <c r="O334" s="340"/>
      <c r="Q334" s="275">
        <f t="shared" si="29"/>
        <v>0.27000000000000018</v>
      </c>
      <c r="R334" s="276">
        <f t="shared" si="28"/>
        <v>0.3125</v>
      </c>
      <c r="S334" s="533"/>
      <c r="T334"/>
      <c r="U334"/>
      <c r="V334"/>
      <c r="W334"/>
    </row>
    <row r="335" spans="15:23">
      <c r="O335" s="340"/>
      <c r="Q335" s="275">
        <f t="shared" si="29"/>
        <v>0.27100000000000019</v>
      </c>
      <c r="R335" s="276">
        <f t="shared" si="28"/>
        <v>0.3125</v>
      </c>
      <c r="S335" s="533"/>
      <c r="T335"/>
      <c r="U335"/>
      <c r="V335"/>
      <c r="W335"/>
    </row>
    <row r="336" spans="15:23">
      <c r="O336" s="340"/>
      <c r="Q336" s="275">
        <f t="shared" si="29"/>
        <v>0.27200000000000019</v>
      </c>
      <c r="R336" s="276">
        <f t="shared" si="28"/>
        <v>0.3125</v>
      </c>
      <c r="S336" s="533"/>
      <c r="T336"/>
      <c r="U336"/>
      <c r="V336"/>
      <c r="W336"/>
    </row>
    <row r="337" spans="15:23">
      <c r="O337" s="340"/>
      <c r="Q337" s="275">
        <f t="shared" si="29"/>
        <v>0.27300000000000019</v>
      </c>
      <c r="R337" s="276">
        <f t="shared" si="28"/>
        <v>0.3125</v>
      </c>
      <c r="S337" s="533"/>
      <c r="T337"/>
      <c r="U337"/>
      <c r="V337"/>
      <c r="W337"/>
    </row>
    <row r="338" spans="15:23">
      <c r="O338" s="340"/>
      <c r="Q338" s="275">
        <f t="shared" si="29"/>
        <v>0.27400000000000019</v>
      </c>
      <c r="R338" s="276">
        <f t="shared" si="28"/>
        <v>0.3125</v>
      </c>
      <c r="S338" s="533"/>
      <c r="T338"/>
      <c r="U338"/>
      <c r="V338"/>
      <c r="W338"/>
    </row>
    <row r="339" spans="15:23">
      <c r="O339" s="340"/>
      <c r="Q339" s="275">
        <f t="shared" si="29"/>
        <v>0.27500000000000019</v>
      </c>
      <c r="R339" s="276">
        <f t="shared" si="28"/>
        <v>0.3125</v>
      </c>
      <c r="S339" s="533"/>
      <c r="T339"/>
      <c r="U339"/>
      <c r="V339"/>
      <c r="W339"/>
    </row>
    <row r="340" spans="15:23">
      <c r="O340" s="340"/>
      <c r="Q340" s="275">
        <f t="shared" si="29"/>
        <v>0.27600000000000019</v>
      </c>
      <c r="R340" s="276">
        <f t="shared" si="28"/>
        <v>0.3125</v>
      </c>
      <c r="S340" s="533"/>
      <c r="T340"/>
      <c r="U340"/>
      <c r="V340"/>
      <c r="W340"/>
    </row>
    <row r="341" spans="15:23">
      <c r="O341" s="340"/>
      <c r="Q341" s="275">
        <f t="shared" si="29"/>
        <v>0.27700000000000019</v>
      </c>
      <c r="R341" s="276">
        <f t="shared" si="28"/>
        <v>0.3125</v>
      </c>
      <c r="S341" s="533"/>
      <c r="T341"/>
      <c r="U341"/>
      <c r="V341"/>
      <c r="W341"/>
    </row>
    <row r="342" spans="15:23">
      <c r="O342" s="340"/>
      <c r="Q342" s="275">
        <f t="shared" si="29"/>
        <v>0.27800000000000019</v>
      </c>
      <c r="R342" s="276">
        <f t="shared" si="28"/>
        <v>0.3125</v>
      </c>
      <c r="S342" s="533"/>
      <c r="T342"/>
      <c r="U342"/>
      <c r="V342"/>
      <c r="W342"/>
    </row>
    <row r="343" spans="15:23">
      <c r="O343" s="340"/>
      <c r="Q343" s="275">
        <f t="shared" si="29"/>
        <v>0.27900000000000019</v>
      </c>
      <c r="R343" s="276">
        <f t="shared" si="28"/>
        <v>0.3125</v>
      </c>
      <c r="S343" s="533"/>
      <c r="T343"/>
      <c r="U343"/>
      <c r="V343"/>
      <c r="W343"/>
    </row>
    <row r="344" spans="15:23">
      <c r="O344" s="340"/>
      <c r="Q344" s="275">
        <f t="shared" si="29"/>
        <v>0.28000000000000019</v>
      </c>
      <c r="R344" s="276">
        <f t="shared" si="28"/>
        <v>0.3125</v>
      </c>
      <c r="S344" s="533"/>
      <c r="T344"/>
      <c r="U344"/>
      <c r="V344"/>
      <c r="W344"/>
    </row>
    <row r="345" spans="15:23">
      <c r="O345" s="340"/>
      <c r="Q345" s="275">
        <f t="shared" si="29"/>
        <v>0.28100000000000019</v>
      </c>
      <c r="R345" s="276">
        <f t="shared" si="28"/>
        <v>0.3125</v>
      </c>
      <c r="S345" s="533"/>
      <c r="T345"/>
      <c r="U345"/>
      <c r="V345"/>
      <c r="W345"/>
    </row>
    <row r="346" spans="15:23">
      <c r="O346" s="340"/>
      <c r="Q346" s="275">
        <f t="shared" si="29"/>
        <v>0.28200000000000019</v>
      </c>
      <c r="R346" s="276">
        <f t="shared" si="28"/>
        <v>0.3125</v>
      </c>
      <c r="S346" s="533"/>
      <c r="T346"/>
      <c r="U346"/>
      <c r="V346"/>
      <c r="W346"/>
    </row>
    <row r="347" spans="15:23">
      <c r="O347" s="340"/>
      <c r="Q347" s="275">
        <f t="shared" si="29"/>
        <v>0.2830000000000002</v>
      </c>
      <c r="R347" s="276">
        <f t="shared" si="28"/>
        <v>0.3125</v>
      </c>
      <c r="S347" s="533"/>
      <c r="T347"/>
      <c r="U347"/>
      <c r="V347"/>
      <c r="W347"/>
    </row>
    <row r="348" spans="15:23">
      <c r="O348" s="340"/>
      <c r="Q348" s="275">
        <f t="shared" si="29"/>
        <v>0.2840000000000002</v>
      </c>
      <c r="R348" s="276">
        <f t="shared" si="28"/>
        <v>0.3125</v>
      </c>
      <c r="S348" s="533"/>
      <c r="T348"/>
      <c r="U348"/>
      <c r="V348"/>
      <c r="W348"/>
    </row>
    <row r="349" spans="15:23">
      <c r="O349" s="340"/>
      <c r="Q349" s="275">
        <f t="shared" si="29"/>
        <v>0.2850000000000002</v>
      </c>
      <c r="R349" s="276">
        <f t="shared" si="28"/>
        <v>0.3125</v>
      </c>
      <c r="S349" s="533"/>
      <c r="T349"/>
      <c r="U349"/>
      <c r="V349"/>
      <c r="W349"/>
    </row>
    <row r="350" spans="15:23">
      <c r="O350" s="340"/>
      <c r="Q350" s="275">
        <f t="shared" si="29"/>
        <v>0.2860000000000002</v>
      </c>
      <c r="R350" s="276">
        <f t="shared" ref="R350:R381" si="30">3/8</f>
        <v>0.375</v>
      </c>
      <c r="S350" s="533"/>
      <c r="T350"/>
      <c r="U350"/>
      <c r="V350"/>
      <c r="W350"/>
    </row>
    <row r="351" spans="15:23">
      <c r="O351" s="340"/>
      <c r="Q351" s="275">
        <f t="shared" si="29"/>
        <v>0.2870000000000002</v>
      </c>
      <c r="R351" s="276">
        <f t="shared" si="30"/>
        <v>0.375</v>
      </c>
      <c r="S351" s="533"/>
      <c r="T351"/>
      <c r="U351"/>
      <c r="V351"/>
      <c r="W351"/>
    </row>
    <row r="352" spans="15:23">
      <c r="O352" s="340"/>
      <c r="Q352" s="275">
        <f t="shared" si="29"/>
        <v>0.2880000000000002</v>
      </c>
      <c r="R352" s="276">
        <f t="shared" si="30"/>
        <v>0.375</v>
      </c>
      <c r="S352" s="533"/>
      <c r="T352"/>
      <c r="U352"/>
      <c r="V352"/>
      <c r="W352"/>
    </row>
    <row r="353" spans="15:23">
      <c r="O353" s="340"/>
      <c r="Q353" s="275">
        <f t="shared" si="29"/>
        <v>0.2890000000000002</v>
      </c>
      <c r="R353" s="276">
        <f t="shared" si="30"/>
        <v>0.375</v>
      </c>
      <c r="S353" s="533"/>
      <c r="T353"/>
      <c r="U353"/>
      <c r="V353"/>
      <c r="W353"/>
    </row>
    <row r="354" spans="15:23">
      <c r="O354" s="340"/>
      <c r="Q354" s="275">
        <f t="shared" si="29"/>
        <v>0.2900000000000002</v>
      </c>
      <c r="R354" s="276">
        <f t="shared" si="30"/>
        <v>0.375</v>
      </c>
      <c r="S354" s="533"/>
      <c r="T354"/>
      <c r="U354"/>
      <c r="V354"/>
      <c r="W354"/>
    </row>
    <row r="355" spans="15:23">
      <c r="O355" s="340"/>
      <c r="Q355" s="275">
        <f t="shared" si="29"/>
        <v>0.2910000000000002</v>
      </c>
      <c r="R355" s="276">
        <f t="shared" si="30"/>
        <v>0.375</v>
      </c>
      <c r="S355" s="533"/>
      <c r="T355"/>
      <c r="U355"/>
      <c r="V355"/>
      <c r="W355"/>
    </row>
    <row r="356" spans="15:23">
      <c r="O356" s="340"/>
      <c r="Q356" s="275">
        <f t="shared" si="29"/>
        <v>0.2920000000000002</v>
      </c>
      <c r="R356" s="276">
        <f t="shared" si="30"/>
        <v>0.375</v>
      </c>
      <c r="S356" s="533"/>
      <c r="T356"/>
      <c r="U356"/>
      <c r="V356"/>
      <c r="W356"/>
    </row>
    <row r="357" spans="15:23">
      <c r="O357" s="340"/>
      <c r="Q357" s="275">
        <f t="shared" si="29"/>
        <v>0.2930000000000002</v>
      </c>
      <c r="R357" s="276">
        <f t="shared" si="30"/>
        <v>0.375</v>
      </c>
      <c r="S357" s="533"/>
      <c r="T357"/>
      <c r="U357"/>
      <c r="V357"/>
      <c r="W357"/>
    </row>
    <row r="358" spans="15:23">
      <c r="O358" s="340"/>
      <c r="Q358" s="275">
        <f t="shared" si="29"/>
        <v>0.29400000000000021</v>
      </c>
      <c r="R358" s="276">
        <f t="shared" si="30"/>
        <v>0.375</v>
      </c>
      <c r="S358" s="533"/>
      <c r="T358"/>
      <c r="U358"/>
      <c r="V358"/>
      <c r="W358"/>
    </row>
    <row r="359" spans="15:23">
      <c r="O359" s="340"/>
      <c r="Q359" s="275">
        <f t="shared" si="29"/>
        <v>0.29500000000000021</v>
      </c>
      <c r="R359" s="276">
        <f t="shared" si="30"/>
        <v>0.375</v>
      </c>
      <c r="S359" s="533"/>
      <c r="T359"/>
      <c r="U359"/>
      <c r="V359"/>
      <c r="W359"/>
    </row>
    <row r="360" spans="15:23">
      <c r="O360" s="340"/>
      <c r="Q360" s="275">
        <f t="shared" si="29"/>
        <v>0.29600000000000021</v>
      </c>
      <c r="R360" s="276">
        <f t="shared" si="30"/>
        <v>0.375</v>
      </c>
      <c r="S360" s="533"/>
      <c r="T360"/>
      <c r="U360"/>
      <c r="V360"/>
      <c r="W360"/>
    </row>
    <row r="361" spans="15:23">
      <c r="O361" s="340"/>
      <c r="Q361" s="275">
        <f t="shared" si="29"/>
        <v>0.29700000000000021</v>
      </c>
      <c r="R361" s="276">
        <f t="shared" si="30"/>
        <v>0.375</v>
      </c>
      <c r="S361" s="533"/>
      <c r="T361"/>
      <c r="U361"/>
      <c r="V361"/>
      <c r="W361"/>
    </row>
    <row r="362" spans="15:23">
      <c r="O362" s="340"/>
      <c r="Q362" s="275">
        <f t="shared" si="29"/>
        <v>0.29800000000000021</v>
      </c>
      <c r="R362" s="276">
        <f t="shared" si="30"/>
        <v>0.375</v>
      </c>
      <c r="S362" s="533"/>
      <c r="T362"/>
      <c r="U362"/>
      <c r="V362"/>
      <c r="W362"/>
    </row>
    <row r="363" spans="15:23">
      <c r="O363" s="340"/>
      <c r="Q363" s="275">
        <f t="shared" si="29"/>
        <v>0.29900000000000021</v>
      </c>
      <c r="R363" s="276">
        <f t="shared" si="30"/>
        <v>0.375</v>
      </c>
      <c r="S363" s="533"/>
      <c r="T363"/>
      <c r="U363"/>
      <c r="V363"/>
      <c r="W363"/>
    </row>
    <row r="364" spans="15:23">
      <c r="O364" s="340"/>
      <c r="Q364" s="275">
        <f t="shared" si="29"/>
        <v>0.30000000000000021</v>
      </c>
      <c r="R364" s="276">
        <f t="shared" si="30"/>
        <v>0.375</v>
      </c>
      <c r="S364" s="533"/>
      <c r="T364"/>
      <c r="U364"/>
      <c r="V364"/>
      <c r="W364"/>
    </row>
    <row r="365" spans="15:23">
      <c r="O365" s="340"/>
      <c r="Q365" s="275">
        <f t="shared" si="29"/>
        <v>0.30100000000000021</v>
      </c>
      <c r="R365" s="276">
        <f t="shared" si="30"/>
        <v>0.375</v>
      </c>
      <c r="S365" s="533"/>
      <c r="T365"/>
      <c r="U365"/>
      <c r="V365"/>
      <c r="W365"/>
    </row>
    <row r="366" spans="15:23">
      <c r="O366" s="340"/>
      <c r="Q366" s="275">
        <f t="shared" si="29"/>
        <v>0.30200000000000021</v>
      </c>
      <c r="R366" s="276">
        <f t="shared" si="30"/>
        <v>0.375</v>
      </c>
      <c r="S366" s="533"/>
      <c r="T366"/>
      <c r="U366"/>
      <c r="V366"/>
      <c r="W366"/>
    </row>
    <row r="367" spans="15:23">
      <c r="O367" s="340"/>
      <c r="Q367" s="275">
        <f t="shared" si="29"/>
        <v>0.30300000000000021</v>
      </c>
      <c r="R367" s="276">
        <f t="shared" si="30"/>
        <v>0.375</v>
      </c>
      <c r="S367" s="533"/>
      <c r="T367"/>
      <c r="U367"/>
      <c r="V367"/>
      <c r="W367"/>
    </row>
    <row r="368" spans="15:23">
      <c r="O368" s="340"/>
      <c r="Q368" s="275">
        <f t="shared" si="29"/>
        <v>0.30400000000000021</v>
      </c>
      <c r="R368" s="276">
        <f t="shared" si="30"/>
        <v>0.375</v>
      </c>
      <c r="S368" s="533"/>
      <c r="T368"/>
      <c r="U368"/>
      <c r="V368"/>
      <c r="W368"/>
    </row>
    <row r="369" spans="15:23">
      <c r="O369" s="340"/>
      <c r="Q369" s="275">
        <f t="shared" si="29"/>
        <v>0.30500000000000022</v>
      </c>
      <c r="R369" s="276">
        <f t="shared" si="30"/>
        <v>0.375</v>
      </c>
      <c r="S369" s="533"/>
      <c r="T369"/>
      <c r="U369"/>
      <c r="V369"/>
      <c r="W369"/>
    </row>
    <row r="370" spans="15:23">
      <c r="O370" s="340"/>
      <c r="Q370" s="275">
        <f t="shared" si="29"/>
        <v>0.30600000000000022</v>
      </c>
      <c r="R370" s="276">
        <f t="shared" si="30"/>
        <v>0.375</v>
      </c>
      <c r="S370" s="533"/>
      <c r="T370"/>
      <c r="U370"/>
      <c r="V370"/>
      <c r="W370"/>
    </row>
    <row r="371" spans="15:23">
      <c r="O371" s="340"/>
      <c r="Q371" s="275">
        <f t="shared" si="29"/>
        <v>0.30700000000000022</v>
      </c>
      <c r="R371" s="276">
        <f t="shared" si="30"/>
        <v>0.375</v>
      </c>
      <c r="S371" s="533"/>
      <c r="T371"/>
      <c r="U371"/>
      <c r="V371"/>
      <c r="W371"/>
    </row>
    <row r="372" spans="15:23">
      <c r="O372" s="340"/>
      <c r="Q372" s="275">
        <f t="shared" si="29"/>
        <v>0.30800000000000022</v>
      </c>
      <c r="R372" s="276">
        <f t="shared" si="30"/>
        <v>0.375</v>
      </c>
      <c r="S372" s="533"/>
      <c r="T372"/>
      <c r="U372"/>
      <c r="V372"/>
      <c r="W372"/>
    </row>
    <row r="373" spans="15:23">
      <c r="O373" s="340"/>
      <c r="Q373" s="275">
        <f t="shared" si="29"/>
        <v>0.30900000000000022</v>
      </c>
      <c r="R373" s="276">
        <f t="shared" si="30"/>
        <v>0.375</v>
      </c>
      <c r="S373" s="533"/>
      <c r="T373"/>
      <c r="U373"/>
      <c r="V373"/>
      <c r="W373"/>
    </row>
    <row r="374" spans="15:23">
      <c r="O374" s="340"/>
      <c r="Q374" s="275">
        <f t="shared" si="29"/>
        <v>0.31000000000000022</v>
      </c>
      <c r="R374" s="276">
        <f t="shared" si="30"/>
        <v>0.375</v>
      </c>
      <c r="S374" s="533"/>
      <c r="T374"/>
      <c r="U374"/>
      <c r="V374"/>
      <c r="W374"/>
    </row>
    <row r="375" spans="15:23">
      <c r="O375" s="340"/>
      <c r="Q375" s="275">
        <f t="shared" si="29"/>
        <v>0.31100000000000022</v>
      </c>
      <c r="R375" s="276">
        <f t="shared" si="30"/>
        <v>0.375</v>
      </c>
      <c r="S375" s="533"/>
      <c r="T375"/>
      <c r="U375"/>
      <c r="V375"/>
      <c r="W375"/>
    </row>
    <row r="376" spans="15:23">
      <c r="O376" s="340"/>
      <c r="Q376" s="275">
        <f t="shared" si="29"/>
        <v>0.31200000000000022</v>
      </c>
      <c r="R376" s="276">
        <f t="shared" si="30"/>
        <v>0.375</v>
      </c>
      <c r="S376" s="533"/>
      <c r="T376"/>
      <c r="U376"/>
      <c r="V376"/>
      <c r="W376"/>
    </row>
    <row r="377" spans="15:23">
      <c r="O377" s="340"/>
      <c r="Q377" s="275">
        <f t="shared" si="29"/>
        <v>0.31300000000000022</v>
      </c>
      <c r="R377" s="276">
        <f t="shared" si="30"/>
        <v>0.375</v>
      </c>
      <c r="S377" s="533"/>
      <c r="T377"/>
      <c r="U377"/>
      <c r="V377"/>
      <c r="W377"/>
    </row>
    <row r="378" spans="15:23">
      <c r="O378" s="340"/>
      <c r="Q378" s="275">
        <f t="shared" si="29"/>
        <v>0.31400000000000022</v>
      </c>
      <c r="R378" s="276">
        <f t="shared" si="30"/>
        <v>0.375</v>
      </c>
      <c r="S378" s="533"/>
      <c r="T378"/>
      <c r="U378"/>
      <c r="V378"/>
      <c r="W378"/>
    </row>
    <row r="379" spans="15:23">
      <c r="O379" s="340"/>
      <c r="Q379" s="275">
        <f t="shared" si="29"/>
        <v>0.31500000000000022</v>
      </c>
      <c r="R379" s="276">
        <f t="shared" si="30"/>
        <v>0.375</v>
      </c>
      <c r="S379" s="533"/>
      <c r="T379"/>
      <c r="U379"/>
      <c r="V379"/>
      <c r="W379"/>
    </row>
    <row r="380" spans="15:23">
      <c r="O380" s="340"/>
      <c r="Q380" s="275">
        <f t="shared" si="29"/>
        <v>0.31600000000000023</v>
      </c>
      <c r="R380" s="276">
        <f t="shared" si="30"/>
        <v>0.375</v>
      </c>
      <c r="S380" s="533"/>
      <c r="T380"/>
      <c r="U380"/>
      <c r="V380"/>
      <c r="W380"/>
    </row>
    <row r="381" spans="15:23">
      <c r="O381" s="340"/>
      <c r="Q381" s="275">
        <f t="shared" si="29"/>
        <v>0.31700000000000023</v>
      </c>
      <c r="R381" s="276">
        <f t="shared" si="30"/>
        <v>0.375</v>
      </c>
      <c r="S381" s="533"/>
      <c r="T381"/>
      <c r="U381"/>
      <c r="V381"/>
      <c r="W381"/>
    </row>
    <row r="382" spans="15:23">
      <c r="O382" s="340"/>
      <c r="Q382" s="275">
        <f t="shared" si="29"/>
        <v>0.31800000000000023</v>
      </c>
      <c r="R382" s="276">
        <f t="shared" ref="R382:R412" si="31">3/8</f>
        <v>0.375</v>
      </c>
      <c r="S382" s="533"/>
      <c r="T382"/>
      <c r="U382"/>
      <c r="V382"/>
      <c r="W382"/>
    </row>
    <row r="383" spans="15:23">
      <c r="O383" s="340"/>
      <c r="Q383" s="275">
        <f t="shared" si="29"/>
        <v>0.31900000000000023</v>
      </c>
      <c r="R383" s="276">
        <f t="shared" si="31"/>
        <v>0.375</v>
      </c>
      <c r="S383" s="533"/>
      <c r="T383"/>
      <c r="U383"/>
      <c r="V383"/>
      <c r="W383"/>
    </row>
    <row r="384" spans="15:23">
      <c r="O384" s="340"/>
      <c r="Q384" s="275">
        <f t="shared" si="29"/>
        <v>0.32000000000000023</v>
      </c>
      <c r="R384" s="276">
        <f t="shared" si="31"/>
        <v>0.375</v>
      </c>
      <c r="S384" s="533"/>
      <c r="T384"/>
      <c r="U384"/>
      <c r="V384"/>
      <c r="W384"/>
    </row>
    <row r="385" spans="15:23">
      <c r="O385" s="340"/>
      <c r="Q385" s="275">
        <f t="shared" ref="Q385:Q448" si="32">Q384+0.001</f>
        <v>0.32100000000000023</v>
      </c>
      <c r="R385" s="276">
        <f t="shared" si="31"/>
        <v>0.375</v>
      </c>
      <c r="S385" s="533"/>
      <c r="T385"/>
      <c r="U385"/>
      <c r="V385"/>
      <c r="W385"/>
    </row>
    <row r="386" spans="15:23">
      <c r="O386" s="340"/>
      <c r="Q386" s="275">
        <f t="shared" si="32"/>
        <v>0.32200000000000023</v>
      </c>
      <c r="R386" s="276">
        <f t="shared" si="31"/>
        <v>0.375</v>
      </c>
      <c r="S386" s="533"/>
      <c r="T386"/>
      <c r="U386"/>
      <c r="V386"/>
      <c r="W386"/>
    </row>
    <row r="387" spans="15:23">
      <c r="O387" s="340"/>
      <c r="Q387" s="275">
        <f t="shared" si="32"/>
        <v>0.32300000000000023</v>
      </c>
      <c r="R387" s="276">
        <f t="shared" si="31"/>
        <v>0.375</v>
      </c>
      <c r="S387" s="533"/>
      <c r="T387"/>
      <c r="U387"/>
      <c r="V387"/>
      <c r="W387"/>
    </row>
    <row r="388" spans="15:23">
      <c r="O388" s="340"/>
      <c r="Q388" s="275">
        <f t="shared" si="32"/>
        <v>0.32400000000000023</v>
      </c>
      <c r="R388" s="276">
        <f t="shared" si="31"/>
        <v>0.375</v>
      </c>
      <c r="S388" s="533"/>
      <c r="T388"/>
      <c r="U388"/>
      <c r="V388"/>
      <c r="W388"/>
    </row>
    <row r="389" spans="15:23">
      <c r="O389" s="340"/>
      <c r="Q389" s="275">
        <f t="shared" si="32"/>
        <v>0.32500000000000023</v>
      </c>
      <c r="R389" s="276">
        <f t="shared" si="31"/>
        <v>0.375</v>
      </c>
      <c r="S389" s="533"/>
      <c r="T389"/>
      <c r="U389"/>
      <c r="V389"/>
      <c r="W389"/>
    </row>
    <row r="390" spans="15:23">
      <c r="O390" s="340"/>
      <c r="Q390" s="275">
        <f t="shared" si="32"/>
        <v>0.32600000000000023</v>
      </c>
      <c r="R390" s="276">
        <f t="shared" si="31"/>
        <v>0.375</v>
      </c>
      <c r="S390" s="533"/>
      <c r="T390"/>
      <c r="U390"/>
      <c r="V390"/>
      <c r="W390"/>
    </row>
    <row r="391" spans="15:23">
      <c r="O391" s="340"/>
      <c r="Q391" s="275">
        <f t="shared" si="32"/>
        <v>0.32700000000000023</v>
      </c>
      <c r="R391" s="276">
        <f t="shared" si="31"/>
        <v>0.375</v>
      </c>
      <c r="S391" s="533"/>
      <c r="T391"/>
      <c r="U391"/>
      <c r="V391"/>
      <c r="W391"/>
    </row>
    <row r="392" spans="15:23">
      <c r="O392" s="340"/>
      <c r="Q392" s="275">
        <f t="shared" si="32"/>
        <v>0.32800000000000024</v>
      </c>
      <c r="R392" s="276">
        <f t="shared" si="31"/>
        <v>0.375</v>
      </c>
      <c r="S392" s="533"/>
      <c r="T392"/>
      <c r="U392"/>
      <c r="V392"/>
      <c r="W392"/>
    </row>
    <row r="393" spans="15:23">
      <c r="O393" s="340"/>
      <c r="Q393" s="275">
        <f t="shared" si="32"/>
        <v>0.32900000000000024</v>
      </c>
      <c r="R393" s="276">
        <f t="shared" si="31"/>
        <v>0.375</v>
      </c>
      <c r="S393" s="533"/>
      <c r="T393"/>
      <c r="U393"/>
      <c r="V393"/>
      <c r="W393"/>
    </row>
    <row r="394" spans="15:23">
      <c r="O394" s="340"/>
      <c r="Q394" s="275">
        <f t="shared" si="32"/>
        <v>0.33000000000000024</v>
      </c>
      <c r="R394" s="276">
        <f t="shared" si="31"/>
        <v>0.375</v>
      </c>
      <c r="S394" s="533"/>
      <c r="T394"/>
      <c r="U394"/>
      <c r="V394"/>
      <c r="W394"/>
    </row>
    <row r="395" spans="15:23">
      <c r="O395" s="340"/>
      <c r="Q395" s="275">
        <f t="shared" si="32"/>
        <v>0.33100000000000024</v>
      </c>
      <c r="R395" s="276">
        <f t="shared" si="31"/>
        <v>0.375</v>
      </c>
      <c r="S395" s="533"/>
      <c r="T395"/>
      <c r="U395"/>
      <c r="V395"/>
      <c r="W395"/>
    </row>
    <row r="396" spans="15:23">
      <c r="O396" s="340"/>
      <c r="Q396" s="275">
        <f t="shared" si="32"/>
        <v>0.33200000000000024</v>
      </c>
      <c r="R396" s="276">
        <f t="shared" si="31"/>
        <v>0.375</v>
      </c>
      <c r="S396" s="533"/>
      <c r="T396"/>
      <c r="U396"/>
      <c r="V396"/>
      <c r="W396"/>
    </row>
    <row r="397" spans="15:23">
      <c r="O397" s="340"/>
      <c r="Q397" s="275">
        <f t="shared" si="32"/>
        <v>0.33300000000000024</v>
      </c>
      <c r="R397" s="276">
        <f t="shared" si="31"/>
        <v>0.375</v>
      </c>
      <c r="S397" s="533"/>
      <c r="T397"/>
      <c r="U397"/>
      <c r="V397"/>
      <c r="W397"/>
    </row>
    <row r="398" spans="15:23">
      <c r="O398" s="340"/>
      <c r="Q398" s="275">
        <f t="shared" si="32"/>
        <v>0.33400000000000024</v>
      </c>
      <c r="R398" s="276">
        <f t="shared" si="31"/>
        <v>0.375</v>
      </c>
      <c r="S398" s="533"/>
      <c r="T398"/>
      <c r="U398"/>
      <c r="V398"/>
      <c r="W398"/>
    </row>
    <row r="399" spans="15:23">
      <c r="O399" s="340"/>
      <c r="Q399" s="275">
        <f t="shared" si="32"/>
        <v>0.33500000000000024</v>
      </c>
      <c r="R399" s="276">
        <f t="shared" si="31"/>
        <v>0.375</v>
      </c>
      <c r="S399" s="533"/>
      <c r="T399"/>
      <c r="U399"/>
      <c r="V399"/>
      <c r="W399"/>
    </row>
    <row r="400" spans="15:23">
      <c r="O400" s="340"/>
      <c r="Q400" s="275">
        <f t="shared" si="32"/>
        <v>0.33600000000000024</v>
      </c>
      <c r="R400" s="276">
        <f t="shared" si="31"/>
        <v>0.375</v>
      </c>
      <c r="S400" s="533"/>
      <c r="T400"/>
      <c r="U400"/>
      <c r="V400"/>
      <c r="W400"/>
    </row>
    <row r="401" spans="15:23">
      <c r="O401" s="340"/>
      <c r="Q401" s="275">
        <f t="shared" si="32"/>
        <v>0.33700000000000024</v>
      </c>
      <c r="R401" s="276">
        <f t="shared" si="31"/>
        <v>0.375</v>
      </c>
      <c r="S401" s="533"/>
      <c r="T401"/>
      <c r="U401"/>
      <c r="V401"/>
      <c r="W401"/>
    </row>
    <row r="402" spans="15:23">
      <c r="O402" s="340"/>
      <c r="Q402" s="275">
        <f t="shared" si="32"/>
        <v>0.33800000000000024</v>
      </c>
      <c r="R402" s="276">
        <f t="shared" si="31"/>
        <v>0.375</v>
      </c>
      <c r="S402" s="533"/>
      <c r="T402"/>
      <c r="U402"/>
      <c r="V402"/>
      <c r="W402"/>
    </row>
    <row r="403" spans="15:23">
      <c r="O403" s="340"/>
      <c r="Q403" s="275">
        <f t="shared" si="32"/>
        <v>0.33900000000000025</v>
      </c>
      <c r="R403" s="276">
        <f t="shared" si="31"/>
        <v>0.375</v>
      </c>
      <c r="S403" s="533"/>
      <c r="T403"/>
      <c r="U403"/>
      <c r="V403"/>
      <c r="W403"/>
    </row>
    <row r="404" spans="15:23">
      <c r="O404" s="340"/>
      <c r="Q404" s="275">
        <f t="shared" si="32"/>
        <v>0.34000000000000025</v>
      </c>
      <c r="R404" s="276">
        <f t="shared" si="31"/>
        <v>0.375</v>
      </c>
      <c r="S404" s="533"/>
      <c r="T404"/>
      <c r="U404"/>
      <c r="V404"/>
      <c r="W404"/>
    </row>
    <row r="405" spans="15:23">
      <c r="O405" s="340"/>
      <c r="Q405" s="275">
        <f t="shared" si="32"/>
        <v>0.34100000000000025</v>
      </c>
      <c r="R405" s="276">
        <f t="shared" si="31"/>
        <v>0.375</v>
      </c>
      <c r="S405" s="533"/>
      <c r="T405"/>
      <c r="U405"/>
      <c r="V405"/>
      <c r="W405"/>
    </row>
    <row r="406" spans="15:23">
      <c r="O406" s="340"/>
      <c r="Q406" s="275">
        <f t="shared" si="32"/>
        <v>0.34200000000000025</v>
      </c>
      <c r="R406" s="276">
        <f t="shared" si="31"/>
        <v>0.375</v>
      </c>
      <c r="S406" s="533"/>
      <c r="T406"/>
      <c r="U406"/>
      <c r="V406"/>
      <c r="W406"/>
    </row>
    <row r="407" spans="15:23">
      <c r="O407" s="340"/>
      <c r="Q407" s="275">
        <f t="shared" si="32"/>
        <v>0.34300000000000025</v>
      </c>
      <c r="R407" s="276">
        <f t="shared" si="31"/>
        <v>0.375</v>
      </c>
      <c r="S407" s="533"/>
      <c r="T407"/>
      <c r="U407"/>
      <c r="V407"/>
      <c r="W407"/>
    </row>
    <row r="408" spans="15:23">
      <c r="O408" s="340"/>
      <c r="Q408" s="275">
        <f t="shared" si="32"/>
        <v>0.34400000000000025</v>
      </c>
      <c r="R408" s="276">
        <f t="shared" si="31"/>
        <v>0.375</v>
      </c>
      <c r="S408" s="533"/>
      <c r="T408"/>
      <c r="U408"/>
      <c r="V408"/>
      <c r="W408"/>
    </row>
    <row r="409" spans="15:23">
      <c r="O409" s="340"/>
      <c r="Q409" s="275">
        <f t="shared" si="32"/>
        <v>0.34500000000000025</v>
      </c>
      <c r="R409" s="276">
        <f t="shared" si="31"/>
        <v>0.375</v>
      </c>
      <c r="S409" s="533"/>
      <c r="T409"/>
      <c r="U409"/>
      <c r="V409"/>
      <c r="W409"/>
    </row>
    <row r="410" spans="15:23">
      <c r="O410" s="340"/>
      <c r="Q410" s="275">
        <f t="shared" si="32"/>
        <v>0.34600000000000025</v>
      </c>
      <c r="R410" s="276">
        <f t="shared" si="31"/>
        <v>0.375</v>
      </c>
      <c r="S410" s="533"/>
      <c r="T410"/>
      <c r="U410"/>
      <c r="V410"/>
      <c r="W410"/>
    </row>
    <row r="411" spans="15:23">
      <c r="O411" s="340"/>
      <c r="Q411" s="275">
        <f t="shared" si="32"/>
        <v>0.34700000000000025</v>
      </c>
      <c r="R411" s="276">
        <f t="shared" si="31"/>
        <v>0.375</v>
      </c>
      <c r="S411" s="533"/>
      <c r="T411"/>
      <c r="U411"/>
      <c r="V411"/>
      <c r="W411"/>
    </row>
    <row r="412" spans="15:23">
      <c r="O412" s="340"/>
      <c r="Q412" s="275">
        <f t="shared" si="32"/>
        <v>0.34800000000000025</v>
      </c>
      <c r="R412" s="276">
        <f t="shared" si="31"/>
        <v>0.375</v>
      </c>
      <c r="S412" s="533"/>
      <c r="T412"/>
      <c r="U412"/>
      <c r="V412"/>
      <c r="W412"/>
    </row>
    <row r="413" spans="15:23">
      <c r="O413" s="340"/>
      <c r="Q413" s="275">
        <f t="shared" si="32"/>
        <v>0.34900000000000025</v>
      </c>
      <c r="R413" s="276">
        <f t="shared" ref="R413:R444" si="33">1/2</f>
        <v>0.5</v>
      </c>
      <c r="S413" s="533"/>
      <c r="T413"/>
      <c r="U413"/>
      <c r="V413"/>
      <c r="W413"/>
    </row>
    <row r="414" spans="15:23">
      <c r="O414" s="340"/>
      <c r="Q414" s="275">
        <f t="shared" si="32"/>
        <v>0.35000000000000026</v>
      </c>
      <c r="R414" s="276">
        <f t="shared" si="33"/>
        <v>0.5</v>
      </c>
      <c r="S414" s="533"/>
      <c r="T414"/>
      <c r="U414"/>
      <c r="V414"/>
      <c r="W414"/>
    </row>
    <row r="415" spans="15:23">
      <c r="O415" s="340"/>
      <c r="Q415" s="275">
        <f t="shared" si="32"/>
        <v>0.35100000000000026</v>
      </c>
      <c r="R415" s="276">
        <f t="shared" si="33"/>
        <v>0.5</v>
      </c>
      <c r="S415" s="533"/>
      <c r="T415"/>
      <c r="U415"/>
      <c r="V415"/>
      <c r="W415"/>
    </row>
    <row r="416" spans="15:23">
      <c r="O416" s="340"/>
      <c r="Q416" s="275">
        <f t="shared" si="32"/>
        <v>0.35200000000000026</v>
      </c>
      <c r="R416" s="276">
        <f t="shared" si="33"/>
        <v>0.5</v>
      </c>
      <c r="S416" s="533"/>
      <c r="T416"/>
      <c r="U416"/>
      <c r="V416"/>
      <c r="W416"/>
    </row>
    <row r="417" spans="15:23">
      <c r="O417" s="340"/>
      <c r="Q417" s="275">
        <f t="shared" si="32"/>
        <v>0.35300000000000026</v>
      </c>
      <c r="R417" s="276">
        <f t="shared" si="33"/>
        <v>0.5</v>
      </c>
      <c r="S417" s="533"/>
      <c r="T417"/>
      <c r="U417"/>
      <c r="V417"/>
      <c r="W417"/>
    </row>
    <row r="418" spans="15:23">
      <c r="O418" s="340"/>
      <c r="Q418" s="275">
        <f t="shared" si="32"/>
        <v>0.35400000000000026</v>
      </c>
      <c r="R418" s="276">
        <f t="shared" si="33"/>
        <v>0.5</v>
      </c>
      <c r="S418" s="533"/>
      <c r="T418"/>
      <c r="U418"/>
      <c r="V418"/>
      <c r="W418"/>
    </row>
    <row r="419" spans="15:23">
      <c r="O419" s="340"/>
      <c r="Q419" s="275">
        <f t="shared" si="32"/>
        <v>0.35500000000000026</v>
      </c>
      <c r="R419" s="276">
        <f t="shared" si="33"/>
        <v>0.5</v>
      </c>
      <c r="S419" s="533"/>
      <c r="T419"/>
      <c r="U419"/>
      <c r="V419"/>
      <c r="W419"/>
    </row>
    <row r="420" spans="15:23">
      <c r="O420" s="340"/>
      <c r="Q420" s="275">
        <f t="shared" si="32"/>
        <v>0.35600000000000026</v>
      </c>
      <c r="R420" s="276">
        <f t="shared" si="33"/>
        <v>0.5</v>
      </c>
      <c r="S420" s="533"/>
      <c r="T420"/>
      <c r="U420"/>
      <c r="V420"/>
      <c r="W420"/>
    </row>
    <row r="421" spans="15:23">
      <c r="O421" s="340"/>
      <c r="Q421" s="275">
        <f t="shared" si="32"/>
        <v>0.35700000000000026</v>
      </c>
      <c r="R421" s="276">
        <f t="shared" si="33"/>
        <v>0.5</v>
      </c>
      <c r="S421" s="533"/>
      <c r="T421"/>
      <c r="U421"/>
      <c r="V421"/>
      <c r="W421"/>
    </row>
    <row r="422" spans="15:23">
      <c r="O422" s="340"/>
      <c r="Q422" s="275">
        <f t="shared" si="32"/>
        <v>0.35800000000000026</v>
      </c>
      <c r="R422" s="276">
        <f t="shared" si="33"/>
        <v>0.5</v>
      </c>
      <c r="S422" s="533"/>
      <c r="T422"/>
      <c r="U422"/>
      <c r="V422"/>
      <c r="W422"/>
    </row>
    <row r="423" spans="15:23">
      <c r="O423" s="340"/>
      <c r="Q423" s="275">
        <f t="shared" si="32"/>
        <v>0.35900000000000026</v>
      </c>
      <c r="R423" s="276">
        <f t="shared" si="33"/>
        <v>0.5</v>
      </c>
      <c r="S423" s="533"/>
      <c r="T423"/>
      <c r="U423"/>
      <c r="V423"/>
      <c r="W423"/>
    </row>
    <row r="424" spans="15:23">
      <c r="O424" s="340"/>
      <c r="Q424" s="275">
        <f t="shared" si="32"/>
        <v>0.36000000000000026</v>
      </c>
      <c r="R424" s="276">
        <f t="shared" si="33"/>
        <v>0.5</v>
      </c>
      <c r="S424" s="533"/>
      <c r="T424"/>
      <c r="U424"/>
      <c r="V424"/>
      <c r="W424"/>
    </row>
    <row r="425" spans="15:23">
      <c r="O425" s="340"/>
      <c r="Q425" s="275">
        <f t="shared" si="32"/>
        <v>0.36100000000000027</v>
      </c>
      <c r="R425" s="276">
        <f t="shared" si="33"/>
        <v>0.5</v>
      </c>
      <c r="S425" s="533"/>
      <c r="T425"/>
      <c r="U425"/>
      <c r="V425"/>
      <c r="W425"/>
    </row>
    <row r="426" spans="15:23">
      <c r="O426" s="340"/>
      <c r="Q426" s="275">
        <f t="shared" si="32"/>
        <v>0.36200000000000027</v>
      </c>
      <c r="R426" s="276">
        <f t="shared" si="33"/>
        <v>0.5</v>
      </c>
      <c r="S426" s="533"/>
      <c r="T426"/>
      <c r="U426"/>
      <c r="V426"/>
      <c r="W426"/>
    </row>
    <row r="427" spans="15:23">
      <c r="O427" s="340"/>
      <c r="Q427" s="275">
        <f t="shared" si="32"/>
        <v>0.36300000000000027</v>
      </c>
      <c r="R427" s="276">
        <f t="shared" si="33"/>
        <v>0.5</v>
      </c>
      <c r="S427" s="533"/>
      <c r="T427"/>
      <c r="U427"/>
      <c r="V427"/>
      <c r="W427"/>
    </row>
    <row r="428" spans="15:23">
      <c r="O428" s="340"/>
      <c r="Q428" s="275">
        <f t="shared" si="32"/>
        <v>0.36400000000000027</v>
      </c>
      <c r="R428" s="276">
        <f t="shared" si="33"/>
        <v>0.5</v>
      </c>
      <c r="S428" s="533"/>
      <c r="T428"/>
      <c r="U428"/>
      <c r="V428"/>
      <c r="W428"/>
    </row>
    <row r="429" spans="15:23">
      <c r="O429" s="340"/>
      <c r="Q429" s="275">
        <f t="shared" si="32"/>
        <v>0.36500000000000027</v>
      </c>
      <c r="R429" s="276">
        <f t="shared" si="33"/>
        <v>0.5</v>
      </c>
      <c r="S429" s="533"/>
      <c r="T429"/>
      <c r="U429"/>
      <c r="V429"/>
      <c r="W429"/>
    </row>
    <row r="430" spans="15:23">
      <c r="O430" s="340"/>
      <c r="Q430" s="275">
        <f t="shared" si="32"/>
        <v>0.36600000000000027</v>
      </c>
      <c r="R430" s="276">
        <f t="shared" si="33"/>
        <v>0.5</v>
      </c>
      <c r="S430" s="533"/>
      <c r="T430"/>
      <c r="U430"/>
      <c r="V430"/>
      <c r="W430"/>
    </row>
    <row r="431" spans="15:23">
      <c r="O431" s="340"/>
      <c r="Q431" s="275">
        <f t="shared" si="32"/>
        <v>0.36700000000000027</v>
      </c>
      <c r="R431" s="276">
        <f t="shared" si="33"/>
        <v>0.5</v>
      </c>
      <c r="S431" s="533"/>
      <c r="T431"/>
      <c r="U431"/>
      <c r="V431"/>
      <c r="W431"/>
    </row>
    <row r="432" spans="15:23">
      <c r="O432" s="340"/>
      <c r="Q432" s="275">
        <f t="shared" si="32"/>
        <v>0.36800000000000027</v>
      </c>
      <c r="R432" s="276">
        <f t="shared" si="33"/>
        <v>0.5</v>
      </c>
      <c r="S432" s="533"/>
      <c r="T432"/>
      <c r="U432"/>
      <c r="V432"/>
      <c r="W432"/>
    </row>
    <row r="433" spans="15:23">
      <c r="O433" s="340"/>
      <c r="Q433" s="275">
        <f t="shared" si="32"/>
        <v>0.36900000000000027</v>
      </c>
      <c r="R433" s="276">
        <f t="shared" si="33"/>
        <v>0.5</v>
      </c>
      <c r="S433" s="533"/>
      <c r="T433"/>
      <c r="U433"/>
      <c r="V433"/>
      <c r="W433"/>
    </row>
    <row r="434" spans="15:23">
      <c r="O434" s="340"/>
      <c r="Q434" s="275">
        <f t="shared" si="32"/>
        <v>0.37000000000000027</v>
      </c>
      <c r="R434" s="276">
        <f t="shared" si="33"/>
        <v>0.5</v>
      </c>
      <c r="S434" s="533"/>
      <c r="T434"/>
      <c r="U434"/>
      <c r="V434"/>
      <c r="W434"/>
    </row>
    <row r="435" spans="15:23">
      <c r="O435" s="340"/>
      <c r="Q435" s="275">
        <f t="shared" si="32"/>
        <v>0.37100000000000027</v>
      </c>
      <c r="R435" s="276">
        <f t="shared" si="33"/>
        <v>0.5</v>
      </c>
      <c r="S435" s="533"/>
      <c r="T435"/>
      <c r="U435"/>
      <c r="V435"/>
      <c r="W435"/>
    </row>
    <row r="436" spans="15:23">
      <c r="O436" s="340"/>
      <c r="Q436" s="275">
        <f t="shared" si="32"/>
        <v>0.37200000000000027</v>
      </c>
      <c r="R436" s="276">
        <f t="shared" si="33"/>
        <v>0.5</v>
      </c>
      <c r="S436" s="533"/>
      <c r="T436"/>
      <c r="U436"/>
      <c r="V436"/>
      <c r="W436"/>
    </row>
    <row r="437" spans="15:23">
      <c r="O437" s="340"/>
      <c r="Q437" s="275">
        <f t="shared" si="32"/>
        <v>0.37300000000000028</v>
      </c>
      <c r="R437" s="276">
        <f t="shared" si="33"/>
        <v>0.5</v>
      </c>
      <c r="S437" s="533"/>
      <c r="T437"/>
      <c r="U437"/>
      <c r="V437"/>
      <c r="W437"/>
    </row>
    <row r="438" spans="15:23">
      <c r="O438" s="340"/>
      <c r="Q438" s="275">
        <f t="shared" si="32"/>
        <v>0.37400000000000028</v>
      </c>
      <c r="R438" s="276">
        <f t="shared" si="33"/>
        <v>0.5</v>
      </c>
      <c r="S438" s="533"/>
      <c r="T438"/>
      <c r="U438"/>
      <c r="V438"/>
      <c r="W438"/>
    </row>
    <row r="439" spans="15:23">
      <c r="O439" s="340"/>
      <c r="Q439" s="275">
        <f t="shared" si="32"/>
        <v>0.37500000000000028</v>
      </c>
      <c r="R439" s="276">
        <f t="shared" si="33"/>
        <v>0.5</v>
      </c>
      <c r="S439" s="533"/>
      <c r="T439"/>
      <c r="U439"/>
      <c r="V439"/>
      <c r="W439"/>
    </row>
    <row r="440" spans="15:23">
      <c r="O440" s="340"/>
      <c r="Q440" s="275">
        <f t="shared" si="32"/>
        <v>0.37600000000000028</v>
      </c>
      <c r="R440" s="276">
        <f t="shared" si="33"/>
        <v>0.5</v>
      </c>
      <c r="S440" s="533"/>
      <c r="T440"/>
      <c r="U440"/>
      <c r="V440"/>
      <c r="W440"/>
    </row>
    <row r="441" spans="15:23">
      <c r="O441" s="340"/>
      <c r="Q441" s="275">
        <f t="shared" si="32"/>
        <v>0.37700000000000028</v>
      </c>
      <c r="R441" s="276">
        <f t="shared" si="33"/>
        <v>0.5</v>
      </c>
      <c r="S441" s="533"/>
      <c r="T441"/>
      <c r="U441"/>
      <c r="V441"/>
      <c r="W441"/>
    </row>
    <row r="442" spans="15:23">
      <c r="O442" s="340"/>
      <c r="Q442" s="275">
        <f t="shared" si="32"/>
        <v>0.37800000000000028</v>
      </c>
      <c r="R442" s="276">
        <f t="shared" si="33"/>
        <v>0.5</v>
      </c>
      <c r="S442" s="533"/>
      <c r="T442"/>
      <c r="U442"/>
      <c r="V442"/>
      <c r="W442"/>
    </row>
    <row r="443" spans="15:23">
      <c r="O443" s="340"/>
      <c r="Q443" s="275">
        <f t="shared" si="32"/>
        <v>0.37900000000000028</v>
      </c>
      <c r="R443" s="276">
        <f t="shared" si="33"/>
        <v>0.5</v>
      </c>
      <c r="S443" s="533"/>
      <c r="T443"/>
      <c r="U443"/>
      <c r="V443"/>
      <c r="W443"/>
    </row>
    <row r="444" spans="15:23">
      <c r="O444" s="340"/>
      <c r="Q444" s="275">
        <f t="shared" si="32"/>
        <v>0.38000000000000028</v>
      </c>
      <c r="R444" s="276">
        <f t="shared" si="33"/>
        <v>0.5</v>
      </c>
      <c r="S444" s="533"/>
      <c r="T444"/>
      <c r="U444"/>
      <c r="V444"/>
      <c r="W444"/>
    </row>
    <row r="445" spans="15:23">
      <c r="O445" s="340"/>
      <c r="Q445" s="275">
        <f t="shared" si="32"/>
        <v>0.38100000000000028</v>
      </c>
      <c r="R445" s="276">
        <f t="shared" ref="R445:R476" si="34">1/2</f>
        <v>0.5</v>
      </c>
      <c r="S445" s="533"/>
      <c r="T445"/>
      <c r="U445"/>
      <c r="V445"/>
      <c r="W445"/>
    </row>
    <row r="446" spans="15:23">
      <c r="O446" s="340"/>
      <c r="Q446" s="275">
        <f t="shared" si="32"/>
        <v>0.38200000000000028</v>
      </c>
      <c r="R446" s="276">
        <f t="shared" si="34"/>
        <v>0.5</v>
      </c>
      <c r="S446" s="533"/>
      <c r="T446"/>
      <c r="U446"/>
      <c r="V446"/>
      <c r="W446"/>
    </row>
    <row r="447" spans="15:23">
      <c r="O447" s="340"/>
      <c r="Q447" s="275">
        <f t="shared" si="32"/>
        <v>0.38300000000000028</v>
      </c>
      <c r="R447" s="276">
        <f t="shared" si="34"/>
        <v>0.5</v>
      </c>
      <c r="S447" s="533"/>
      <c r="T447"/>
      <c r="U447"/>
      <c r="V447"/>
      <c r="W447"/>
    </row>
    <row r="448" spans="15:23">
      <c r="O448" s="340"/>
      <c r="Q448" s="275">
        <f t="shared" si="32"/>
        <v>0.38400000000000029</v>
      </c>
      <c r="R448" s="276">
        <f t="shared" si="34"/>
        <v>0.5</v>
      </c>
      <c r="S448" s="533"/>
      <c r="T448"/>
      <c r="U448"/>
      <c r="V448"/>
      <c r="W448"/>
    </row>
    <row r="449" spans="15:23">
      <c r="O449" s="340"/>
      <c r="Q449" s="275">
        <f t="shared" ref="Q449:Q512" si="35">Q448+0.001</f>
        <v>0.38500000000000029</v>
      </c>
      <c r="R449" s="276">
        <f t="shared" si="34"/>
        <v>0.5</v>
      </c>
      <c r="S449" s="533"/>
      <c r="T449"/>
      <c r="U449"/>
      <c r="V449"/>
      <c r="W449"/>
    </row>
    <row r="450" spans="15:23">
      <c r="O450" s="340"/>
      <c r="Q450" s="275">
        <f t="shared" si="35"/>
        <v>0.38600000000000029</v>
      </c>
      <c r="R450" s="276">
        <f t="shared" si="34"/>
        <v>0.5</v>
      </c>
      <c r="S450" s="533"/>
      <c r="T450"/>
      <c r="U450"/>
      <c r="V450"/>
      <c r="W450"/>
    </row>
    <row r="451" spans="15:23">
      <c r="O451" s="340"/>
      <c r="Q451" s="275">
        <f t="shared" si="35"/>
        <v>0.38700000000000029</v>
      </c>
      <c r="R451" s="276">
        <f t="shared" si="34"/>
        <v>0.5</v>
      </c>
      <c r="S451" s="533"/>
      <c r="T451"/>
      <c r="U451"/>
      <c r="V451"/>
      <c r="W451"/>
    </row>
    <row r="452" spans="15:23">
      <c r="O452" s="340"/>
      <c r="Q452" s="275">
        <f t="shared" si="35"/>
        <v>0.38800000000000029</v>
      </c>
      <c r="R452" s="276">
        <f t="shared" si="34"/>
        <v>0.5</v>
      </c>
      <c r="S452" s="533"/>
      <c r="T452"/>
      <c r="U452"/>
      <c r="V452"/>
      <c r="W452"/>
    </row>
    <row r="453" spans="15:23">
      <c r="O453" s="340"/>
      <c r="Q453" s="275">
        <f t="shared" si="35"/>
        <v>0.38900000000000029</v>
      </c>
      <c r="R453" s="276">
        <f t="shared" si="34"/>
        <v>0.5</v>
      </c>
      <c r="S453" s="533"/>
      <c r="T453"/>
      <c r="U453"/>
      <c r="V453"/>
      <c r="W453"/>
    </row>
    <row r="454" spans="15:23">
      <c r="O454" s="340"/>
      <c r="Q454" s="275">
        <f t="shared" si="35"/>
        <v>0.39000000000000029</v>
      </c>
      <c r="R454" s="276">
        <f t="shared" si="34"/>
        <v>0.5</v>
      </c>
      <c r="S454" s="533"/>
      <c r="T454"/>
      <c r="U454"/>
      <c r="V454"/>
      <c r="W454"/>
    </row>
    <row r="455" spans="15:23">
      <c r="O455" s="340"/>
      <c r="Q455" s="275">
        <f t="shared" si="35"/>
        <v>0.39100000000000029</v>
      </c>
      <c r="R455" s="276">
        <f t="shared" si="34"/>
        <v>0.5</v>
      </c>
      <c r="S455" s="533"/>
      <c r="T455"/>
      <c r="U455"/>
      <c r="V455"/>
      <c r="W455"/>
    </row>
    <row r="456" spans="15:23">
      <c r="O456" s="340"/>
      <c r="Q456" s="275">
        <f t="shared" si="35"/>
        <v>0.39200000000000029</v>
      </c>
      <c r="R456" s="276">
        <f t="shared" si="34"/>
        <v>0.5</v>
      </c>
      <c r="S456" s="533"/>
      <c r="T456"/>
      <c r="U456"/>
      <c r="V456"/>
      <c r="W456"/>
    </row>
    <row r="457" spans="15:23">
      <c r="O457" s="340"/>
      <c r="Q457" s="275">
        <f t="shared" si="35"/>
        <v>0.39300000000000029</v>
      </c>
      <c r="R457" s="276">
        <f t="shared" si="34"/>
        <v>0.5</v>
      </c>
      <c r="S457" s="533"/>
      <c r="T457"/>
      <c r="U457"/>
      <c r="V457"/>
      <c r="W457"/>
    </row>
    <row r="458" spans="15:23">
      <c r="O458" s="340"/>
      <c r="Q458" s="275">
        <f t="shared" si="35"/>
        <v>0.39400000000000029</v>
      </c>
      <c r="R458" s="276">
        <f t="shared" si="34"/>
        <v>0.5</v>
      </c>
      <c r="S458" s="533"/>
      <c r="T458"/>
      <c r="U458"/>
      <c r="V458"/>
      <c r="W458"/>
    </row>
    <row r="459" spans="15:23">
      <c r="O459" s="340"/>
      <c r="Q459" s="275">
        <f t="shared" si="35"/>
        <v>0.3950000000000003</v>
      </c>
      <c r="R459" s="276">
        <f t="shared" si="34"/>
        <v>0.5</v>
      </c>
      <c r="S459" s="533"/>
      <c r="T459"/>
      <c r="U459"/>
      <c r="V459"/>
      <c r="W459"/>
    </row>
    <row r="460" spans="15:23">
      <c r="O460" s="340"/>
      <c r="Q460" s="275">
        <f t="shared" si="35"/>
        <v>0.3960000000000003</v>
      </c>
      <c r="R460" s="276">
        <f t="shared" si="34"/>
        <v>0.5</v>
      </c>
      <c r="S460" s="533"/>
      <c r="T460"/>
      <c r="U460"/>
      <c r="V460"/>
      <c r="W460"/>
    </row>
    <row r="461" spans="15:23">
      <c r="O461" s="340"/>
      <c r="Q461" s="275">
        <f t="shared" si="35"/>
        <v>0.3970000000000003</v>
      </c>
      <c r="R461" s="276">
        <f t="shared" si="34"/>
        <v>0.5</v>
      </c>
      <c r="S461" s="533"/>
      <c r="T461"/>
      <c r="U461"/>
      <c r="V461"/>
      <c r="W461"/>
    </row>
    <row r="462" spans="15:23">
      <c r="O462" s="340"/>
      <c r="Q462" s="275">
        <f t="shared" si="35"/>
        <v>0.3980000000000003</v>
      </c>
      <c r="R462" s="276">
        <f t="shared" si="34"/>
        <v>0.5</v>
      </c>
      <c r="S462" s="533"/>
      <c r="T462"/>
      <c r="U462"/>
      <c r="V462"/>
      <c r="W462"/>
    </row>
    <row r="463" spans="15:23">
      <c r="O463" s="340"/>
      <c r="Q463" s="275">
        <f t="shared" si="35"/>
        <v>0.3990000000000003</v>
      </c>
      <c r="R463" s="276">
        <f t="shared" si="34"/>
        <v>0.5</v>
      </c>
      <c r="S463" s="533"/>
      <c r="T463"/>
      <c r="U463"/>
      <c r="V463"/>
      <c r="W463"/>
    </row>
    <row r="464" spans="15:23">
      <c r="O464" s="340"/>
      <c r="Q464" s="275">
        <f t="shared" si="35"/>
        <v>0.4000000000000003</v>
      </c>
      <c r="R464" s="276">
        <f t="shared" si="34"/>
        <v>0.5</v>
      </c>
      <c r="S464" s="533"/>
      <c r="T464"/>
      <c r="U464"/>
      <c r="V464"/>
      <c r="W464"/>
    </row>
    <row r="465" spans="15:23">
      <c r="O465" s="340"/>
      <c r="Q465" s="275">
        <f t="shared" si="35"/>
        <v>0.4010000000000003</v>
      </c>
      <c r="R465" s="276">
        <f t="shared" si="34"/>
        <v>0.5</v>
      </c>
      <c r="S465" s="533"/>
      <c r="T465"/>
      <c r="U465"/>
      <c r="V465"/>
      <c r="W465"/>
    </row>
    <row r="466" spans="15:23">
      <c r="O466" s="340"/>
      <c r="Q466" s="275">
        <f t="shared" si="35"/>
        <v>0.4020000000000003</v>
      </c>
      <c r="R466" s="276">
        <f t="shared" si="34"/>
        <v>0.5</v>
      </c>
      <c r="S466" s="533"/>
      <c r="T466"/>
      <c r="U466"/>
      <c r="V466"/>
      <c r="W466"/>
    </row>
    <row r="467" spans="15:23">
      <c r="O467" s="340"/>
      <c r="Q467" s="275">
        <f t="shared" si="35"/>
        <v>0.4030000000000003</v>
      </c>
      <c r="R467" s="276">
        <f t="shared" si="34"/>
        <v>0.5</v>
      </c>
      <c r="S467" s="533"/>
      <c r="T467"/>
      <c r="U467"/>
      <c r="V467"/>
      <c r="W467"/>
    </row>
    <row r="468" spans="15:23">
      <c r="O468" s="340"/>
      <c r="Q468" s="275">
        <f t="shared" si="35"/>
        <v>0.4040000000000003</v>
      </c>
      <c r="R468" s="276">
        <f t="shared" si="34"/>
        <v>0.5</v>
      </c>
      <c r="S468" s="533"/>
      <c r="T468"/>
      <c r="U468"/>
      <c r="V468"/>
      <c r="W468"/>
    </row>
    <row r="469" spans="15:23">
      <c r="O469" s="340"/>
      <c r="Q469" s="275">
        <f t="shared" si="35"/>
        <v>0.4050000000000003</v>
      </c>
      <c r="R469" s="276">
        <f t="shared" si="34"/>
        <v>0.5</v>
      </c>
      <c r="S469" s="533"/>
      <c r="T469"/>
      <c r="U469"/>
      <c r="V469"/>
      <c r="W469"/>
    </row>
    <row r="470" spans="15:23">
      <c r="O470" s="340"/>
      <c r="Q470" s="275">
        <f t="shared" si="35"/>
        <v>0.40600000000000031</v>
      </c>
      <c r="R470" s="276">
        <f t="shared" si="34"/>
        <v>0.5</v>
      </c>
      <c r="S470" s="533"/>
      <c r="T470"/>
      <c r="U470"/>
      <c r="V470"/>
      <c r="W470"/>
    </row>
    <row r="471" spans="15:23">
      <c r="O471" s="340"/>
      <c r="Q471" s="275">
        <f t="shared" si="35"/>
        <v>0.40700000000000031</v>
      </c>
      <c r="R471" s="276">
        <f t="shared" si="34"/>
        <v>0.5</v>
      </c>
      <c r="S471" s="533"/>
      <c r="T471"/>
      <c r="U471"/>
      <c r="V471"/>
      <c r="W471"/>
    </row>
    <row r="472" spans="15:23">
      <c r="O472" s="340"/>
      <c r="Q472" s="275">
        <f t="shared" si="35"/>
        <v>0.40800000000000031</v>
      </c>
      <c r="R472" s="276">
        <f t="shared" si="34"/>
        <v>0.5</v>
      </c>
      <c r="S472" s="533"/>
      <c r="T472"/>
      <c r="U472"/>
      <c r="V472"/>
      <c r="W472"/>
    </row>
    <row r="473" spans="15:23">
      <c r="O473" s="340"/>
      <c r="Q473" s="275">
        <f t="shared" si="35"/>
        <v>0.40900000000000031</v>
      </c>
      <c r="R473" s="276">
        <f t="shared" si="34"/>
        <v>0.5</v>
      </c>
      <c r="S473" s="533"/>
      <c r="T473"/>
      <c r="U473"/>
      <c r="V473"/>
      <c r="W473"/>
    </row>
    <row r="474" spans="15:23">
      <c r="O474" s="340"/>
      <c r="Q474" s="275">
        <f t="shared" si="35"/>
        <v>0.41000000000000031</v>
      </c>
      <c r="R474" s="276">
        <f t="shared" si="34"/>
        <v>0.5</v>
      </c>
      <c r="S474" s="533"/>
      <c r="T474"/>
      <c r="U474"/>
      <c r="V474"/>
      <c r="W474"/>
    </row>
    <row r="475" spans="15:23">
      <c r="O475" s="340"/>
      <c r="Q475" s="275">
        <f t="shared" si="35"/>
        <v>0.41100000000000031</v>
      </c>
      <c r="R475" s="276">
        <f t="shared" si="34"/>
        <v>0.5</v>
      </c>
      <c r="S475" s="533"/>
      <c r="T475"/>
      <c r="U475"/>
      <c r="V475"/>
      <c r="W475"/>
    </row>
    <row r="476" spans="15:23">
      <c r="O476" s="340"/>
      <c r="Q476" s="275">
        <f t="shared" si="35"/>
        <v>0.41200000000000031</v>
      </c>
      <c r="R476" s="276">
        <f t="shared" si="34"/>
        <v>0.5</v>
      </c>
      <c r="S476" s="533"/>
      <c r="T476"/>
      <c r="U476"/>
      <c r="V476"/>
      <c r="W476"/>
    </row>
    <row r="477" spans="15:23">
      <c r="O477" s="340"/>
      <c r="Q477" s="275">
        <f t="shared" si="35"/>
        <v>0.41300000000000031</v>
      </c>
      <c r="R477" s="276">
        <f t="shared" ref="R477:R508" si="36">1/2</f>
        <v>0.5</v>
      </c>
      <c r="S477" s="533"/>
      <c r="T477"/>
      <c r="U477"/>
      <c r="V477"/>
      <c r="W477"/>
    </row>
    <row r="478" spans="15:23">
      <c r="O478" s="340"/>
      <c r="Q478" s="275">
        <f t="shared" si="35"/>
        <v>0.41400000000000031</v>
      </c>
      <c r="R478" s="276">
        <f t="shared" si="36"/>
        <v>0.5</v>
      </c>
      <c r="S478" s="533"/>
      <c r="T478"/>
      <c r="U478"/>
      <c r="V478"/>
      <c r="W478"/>
    </row>
    <row r="479" spans="15:23">
      <c r="O479" s="340"/>
      <c r="Q479" s="275">
        <f t="shared" si="35"/>
        <v>0.41500000000000031</v>
      </c>
      <c r="R479" s="276">
        <f t="shared" si="36"/>
        <v>0.5</v>
      </c>
      <c r="S479" s="533"/>
      <c r="T479"/>
      <c r="U479"/>
      <c r="V479"/>
      <c r="W479"/>
    </row>
    <row r="480" spans="15:23">
      <c r="O480" s="340"/>
      <c r="Q480" s="275">
        <f t="shared" si="35"/>
        <v>0.41600000000000031</v>
      </c>
      <c r="R480" s="276">
        <f t="shared" si="36"/>
        <v>0.5</v>
      </c>
      <c r="S480" s="533"/>
      <c r="T480"/>
      <c r="U480"/>
      <c r="V480"/>
      <c r="W480"/>
    </row>
    <row r="481" spans="15:23">
      <c r="O481" s="340"/>
      <c r="Q481" s="275">
        <f t="shared" si="35"/>
        <v>0.41700000000000031</v>
      </c>
      <c r="R481" s="276">
        <f t="shared" si="36"/>
        <v>0.5</v>
      </c>
      <c r="S481" s="533"/>
      <c r="T481"/>
      <c r="U481"/>
      <c r="V481"/>
      <c r="W481"/>
    </row>
    <row r="482" spans="15:23">
      <c r="O482" s="340"/>
      <c r="Q482" s="275">
        <f t="shared" si="35"/>
        <v>0.41800000000000032</v>
      </c>
      <c r="R482" s="276">
        <f t="shared" si="36"/>
        <v>0.5</v>
      </c>
      <c r="S482" s="533"/>
      <c r="T482"/>
      <c r="U482"/>
      <c r="V482"/>
      <c r="W482"/>
    </row>
    <row r="483" spans="15:23">
      <c r="O483" s="340"/>
      <c r="Q483" s="275">
        <f t="shared" si="35"/>
        <v>0.41900000000000032</v>
      </c>
      <c r="R483" s="276">
        <f t="shared" si="36"/>
        <v>0.5</v>
      </c>
      <c r="S483" s="533"/>
      <c r="T483"/>
      <c r="U483"/>
      <c r="V483"/>
      <c r="W483"/>
    </row>
    <row r="484" spans="15:23">
      <c r="O484" s="340"/>
      <c r="Q484" s="275">
        <f t="shared" si="35"/>
        <v>0.42000000000000032</v>
      </c>
      <c r="R484" s="276">
        <f t="shared" si="36"/>
        <v>0.5</v>
      </c>
      <c r="S484" s="533"/>
      <c r="T484"/>
      <c r="U484"/>
      <c r="V484"/>
      <c r="W484"/>
    </row>
    <row r="485" spans="15:23">
      <c r="O485" s="340"/>
      <c r="Q485" s="275">
        <f t="shared" si="35"/>
        <v>0.42100000000000032</v>
      </c>
      <c r="R485" s="276">
        <f t="shared" si="36"/>
        <v>0.5</v>
      </c>
      <c r="S485" s="533"/>
      <c r="T485"/>
      <c r="U485"/>
      <c r="V485"/>
      <c r="W485"/>
    </row>
    <row r="486" spans="15:23">
      <c r="O486" s="340"/>
      <c r="Q486" s="275">
        <f t="shared" si="35"/>
        <v>0.42200000000000032</v>
      </c>
      <c r="R486" s="276">
        <f t="shared" si="36"/>
        <v>0.5</v>
      </c>
      <c r="S486" s="533"/>
      <c r="T486"/>
      <c r="U486"/>
      <c r="V486"/>
      <c r="W486"/>
    </row>
    <row r="487" spans="15:23">
      <c r="O487" s="340"/>
      <c r="Q487" s="275">
        <f t="shared" si="35"/>
        <v>0.42300000000000032</v>
      </c>
      <c r="R487" s="276">
        <f t="shared" si="36"/>
        <v>0.5</v>
      </c>
      <c r="S487" s="533"/>
      <c r="T487"/>
      <c r="U487"/>
      <c r="V487"/>
      <c r="W487"/>
    </row>
    <row r="488" spans="15:23">
      <c r="O488" s="340"/>
      <c r="Q488" s="275">
        <f t="shared" si="35"/>
        <v>0.42400000000000032</v>
      </c>
      <c r="R488" s="276">
        <f t="shared" si="36"/>
        <v>0.5</v>
      </c>
      <c r="S488" s="533"/>
      <c r="T488"/>
      <c r="U488"/>
      <c r="V488"/>
      <c r="W488"/>
    </row>
    <row r="489" spans="15:23">
      <c r="O489" s="340"/>
      <c r="Q489" s="275">
        <f t="shared" si="35"/>
        <v>0.42500000000000032</v>
      </c>
      <c r="R489" s="276">
        <f t="shared" si="36"/>
        <v>0.5</v>
      </c>
      <c r="S489" s="533"/>
      <c r="T489"/>
      <c r="U489"/>
      <c r="V489"/>
      <c r="W489"/>
    </row>
    <row r="490" spans="15:23">
      <c r="O490" s="340"/>
      <c r="Q490" s="275">
        <f t="shared" si="35"/>
        <v>0.42600000000000032</v>
      </c>
      <c r="R490" s="276">
        <f t="shared" si="36"/>
        <v>0.5</v>
      </c>
      <c r="S490" s="533"/>
      <c r="T490"/>
      <c r="U490"/>
      <c r="V490"/>
      <c r="W490"/>
    </row>
    <row r="491" spans="15:23">
      <c r="O491" s="340"/>
      <c r="Q491" s="275">
        <f t="shared" si="35"/>
        <v>0.42700000000000032</v>
      </c>
      <c r="R491" s="276">
        <f t="shared" si="36"/>
        <v>0.5</v>
      </c>
      <c r="S491" s="533"/>
      <c r="T491"/>
      <c r="U491"/>
      <c r="V491"/>
      <c r="W491"/>
    </row>
    <row r="492" spans="15:23">
      <c r="O492" s="340"/>
      <c r="Q492" s="275">
        <f t="shared" si="35"/>
        <v>0.42800000000000032</v>
      </c>
      <c r="R492" s="276">
        <f t="shared" si="36"/>
        <v>0.5</v>
      </c>
      <c r="S492" s="533"/>
      <c r="T492"/>
      <c r="U492"/>
      <c r="V492"/>
      <c r="W492"/>
    </row>
    <row r="493" spans="15:23">
      <c r="O493" s="340"/>
      <c r="Q493" s="275">
        <f t="shared" si="35"/>
        <v>0.42900000000000033</v>
      </c>
      <c r="R493" s="276">
        <f t="shared" si="36"/>
        <v>0.5</v>
      </c>
      <c r="S493" s="533"/>
      <c r="T493"/>
      <c r="U493"/>
      <c r="V493"/>
      <c r="W493"/>
    </row>
    <row r="494" spans="15:23">
      <c r="O494" s="340"/>
      <c r="Q494" s="275">
        <f t="shared" si="35"/>
        <v>0.43000000000000033</v>
      </c>
      <c r="R494" s="276">
        <f t="shared" si="36"/>
        <v>0.5</v>
      </c>
      <c r="S494" s="533"/>
      <c r="T494"/>
      <c r="U494"/>
      <c r="V494"/>
      <c r="W494"/>
    </row>
    <row r="495" spans="15:23">
      <c r="O495" s="340"/>
      <c r="Q495" s="275">
        <f t="shared" si="35"/>
        <v>0.43100000000000033</v>
      </c>
      <c r="R495" s="276">
        <f t="shared" si="36"/>
        <v>0.5</v>
      </c>
      <c r="S495" s="533"/>
      <c r="T495"/>
      <c r="U495"/>
      <c r="V495"/>
      <c r="W495"/>
    </row>
    <row r="496" spans="15:23">
      <c r="O496" s="340"/>
      <c r="Q496" s="275">
        <f t="shared" si="35"/>
        <v>0.43200000000000033</v>
      </c>
      <c r="R496" s="276">
        <f t="shared" si="36"/>
        <v>0.5</v>
      </c>
      <c r="S496" s="533"/>
      <c r="T496"/>
      <c r="U496"/>
      <c r="V496"/>
      <c r="W496"/>
    </row>
    <row r="497" spans="15:23">
      <c r="O497" s="340"/>
      <c r="Q497" s="275">
        <f t="shared" si="35"/>
        <v>0.43300000000000033</v>
      </c>
      <c r="R497" s="276">
        <f t="shared" si="36"/>
        <v>0.5</v>
      </c>
      <c r="S497" s="533"/>
      <c r="T497"/>
      <c r="U497"/>
      <c r="V497"/>
      <c r="W497"/>
    </row>
    <row r="498" spans="15:23">
      <c r="O498" s="340"/>
      <c r="Q498" s="275">
        <f t="shared" si="35"/>
        <v>0.43400000000000033</v>
      </c>
      <c r="R498" s="276">
        <f t="shared" si="36"/>
        <v>0.5</v>
      </c>
      <c r="S498" s="533"/>
      <c r="T498"/>
      <c r="U498"/>
      <c r="V498"/>
      <c r="W498"/>
    </row>
    <row r="499" spans="15:23">
      <c r="O499" s="340"/>
      <c r="Q499" s="275">
        <f t="shared" si="35"/>
        <v>0.43500000000000033</v>
      </c>
      <c r="R499" s="276">
        <f t="shared" si="36"/>
        <v>0.5</v>
      </c>
      <c r="S499" s="533"/>
      <c r="T499"/>
      <c r="U499"/>
      <c r="V499"/>
      <c r="W499"/>
    </row>
    <row r="500" spans="15:23">
      <c r="O500" s="340"/>
      <c r="Q500" s="275">
        <f t="shared" si="35"/>
        <v>0.43600000000000033</v>
      </c>
      <c r="R500" s="276">
        <f t="shared" si="36"/>
        <v>0.5</v>
      </c>
      <c r="S500" s="533"/>
      <c r="T500"/>
      <c r="U500"/>
      <c r="V500"/>
      <c r="W500"/>
    </row>
    <row r="501" spans="15:23">
      <c r="O501" s="340"/>
      <c r="Q501" s="275">
        <f t="shared" si="35"/>
        <v>0.43700000000000033</v>
      </c>
      <c r="R501" s="276">
        <f t="shared" si="36"/>
        <v>0.5</v>
      </c>
      <c r="S501" s="533"/>
      <c r="T501"/>
      <c r="U501"/>
      <c r="V501"/>
      <c r="W501"/>
    </row>
    <row r="502" spans="15:23">
      <c r="O502" s="340"/>
      <c r="Q502" s="275">
        <f t="shared" si="35"/>
        <v>0.43800000000000033</v>
      </c>
      <c r="R502" s="276">
        <f t="shared" si="36"/>
        <v>0.5</v>
      </c>
      <c r="S502" s="533"/>
      <c r="T502"/>
      <c r="U502"/>
      <c r="V502"/>
      <c r="W502"/>
    </row>
    <row r="503" spans="15:23">
      <c r="O503" s="340"/>
      <c r="Q503" s="275">
        <f t="shared" si="35"/>
        <v>0.43900000000000033</v>
      </c>
      <c r="R503" s="276">
        <f t="shared" si="36"/>
        <v>0.5</v>
      </c>
      <c r="S503" s="533"/>
      <c r="T503"/>
      <c r="U503"/>
      <c r="V503"/>
      <c r="W503"/>
    </row>
    <row r="504" spans="15:23">
      <c r="O504" s="340"/>
      <c r="Q504" s="275">
        <f t="shared" si="35"/>
        <v>0.44000000000000034</v>
      </c>
      <c r="R504" s="276">
        <f t="shared" si="36"/>
        <v>0.5</v>
      </c>
      <c r="S504" s="533"/>
      <c r="T504"/>
      <c r="U504"/>
      <c r="V504"/>
      <c r="W504"/>
    </row>
    <row r="505" spans="15:23">
      <c r="O505" s="340"/>
      <c r="Q505" s="275">
        <f t="shared" si="35"/>
        <v>0.44100000000000034</v>
      </c>
      <c r="R505" s="276">
        <f t="shared" si="36"/>
        <v>0.5</v>
      </c>
      <c r="S505" s="533"/>
      <c r="T505"/>
      <c r="U505"/>
      <c r="V505"/>
      <c r="W505"/>
    </row>
    <row r="506" spans="15:23">
      <c r="O506" s="340"/>
      <c r="Q506" s="275">
        <f t="shared" si="35"/>
        <v>0.44200000000000034</v>
      </c>
      <c r="R506" s="276">
        <f t="shared" si="36"/>
        <v>0.5</v>
      </c>
      <c r="S506" s="533"/>
      <c r="T506"/>
      <c r="U506"/>
      <c r="V506"/>
      <c r="W506"/>
    </row>
    <row r="507" spans="15:23">
      <c r="O507" s="340"/>
      <c r="Q507" s="275">
        <f t="shared" si="35"/>
        <v>0.44300000000000034</v>
      </c>
      <c r="R507" s="276">
        <f t="shared" si="36"/>
        <v>0.5</v>
      </c>
      <c r="S507" s="533"/>
      <c r="T507"/>
      <c r="U507"/>
      <c r="V507"/>
      <c r="W507"/>
    </row>
    <row r="508" spans="15:23">
      <c r="O508" s="340"/>
      <c r="Q508" s="275">
        <f t="shared" si="35"/>
        <v>0.44400000000000034</v>
      </c>
      <c r="R508" s="276">
        <f t="shared" si="36"/>
        <v>0.5</v>
      </c>
      <c r="S508" s="533"/>
      <c r="T508"/>
      <c r="U508"/>
      <c r="V508"/>
      <c r="W508"/>
    </row>
    <row r="509" spans="15:23">
      <c r="O509" s="340"/>
      <c r="Q509" s="275">
        <f t="shared" si="35"/>
        <v>0.44500000000000034</v>
      </c>
      <c r="R509" s="276">
        <f t="shared" ref="R509:R537" si="37">1/2</f>
        <v>0.5</v>
      </c>
      <c r="S509" s="533"/>
      <c r="T509"/>
      <c r="U509"/>
      <c r="V509"/>
      <c r="W509"/>
    </row>
    <row r="510" spans="15:23">
      <c r="O510" s="340"/>
      <c r="Q510" s="275">
        <f t="shared" si="35"/>
        <v>0.44600000000000034</v>
      </c>
      <c r="R510" s="276">
        <f t="shared" si="37"/>
        <v>0.5</v>
      </c>
      <c r="S510" s="533"/>
      <c r="T510"/>
      <c r="U510"/>
      <c r="V510"/>
      <c r="W510"/>
    </row>
    <row r="511" spans="15:23">
      <c r="O511" s="340"/>
      <c r="Q511" s="275">
        <f t="shared" si="35"/>
        <v>0.44700000000000034</v>
      </c>
      <c r="R511" s="276">
        <f t="shared" si="37"/>
        <v>0.5</v>
      </c>
      <c r="S511" s="533"/>
      <c r="T511"/>
      <c r="U511"/>
      <c r="V511"/>
      <c r="W511"/>
    </row>
    <row r="512" spans="15:23">
      <c r="O512" s="340"/>
      <c r="Q512" s="275">
        <f t="shared" si="35"/>
        <v>0.44800000000000034</v>
      </c>
      <c r="R512" s="276">
        <f t="shared" si="37"/>
        <v>0.5</v>
      </c>
      <c r="S512" s="533"/>
      <c r="T512"/>
      <c r="U512"/>
      <c r="V512"/>
      <c r="W512"/>
    </row>
    <row r="513" spans="15:23">
      <c r="O513" s="340"/>
      <c r="Q513" s="275">
        <f t="shared" ref="Q513:Q576" si="38">Q512+0.001</f>
        <v>0.44900000000000034</v>
      </c>
      <c r="R513" s="276">
        <f t="shared" si="37"/>
        <v>0.5</v>
      </c>
      <c r="S513" s="533"/>
      <c r="T513"/>
      <c r="U513"/>
      <c r="V513"/>
      <c r="W513"/>
    </row>
    <row r="514" spans="15:23">
      <c r="O514" s="340"/>
      <c r="Q514" s="275">
        <f t="shared" si="38"/>
        <v>0.45000000000000034</v>
      </c>
      <c r="R514" s="276">
        <f t="shared" si="37"/>
        <v>0.5</v>
      </c>
      <c r="S514" s="533"/>
      <c r="T514"/>
      <c r="U514"/>
      <c r="V514"/>
      <c r="W514"/>
    </row>
    <row r="515" spans="15:23">
      <c r="O515" s="340"/>
      <c r="Q515" s="275">
        <f t="shared" si="38"/>
        <v>0.45100000000000035</v>
      </c>
      <c r="R515" s="276">
        <f t="shared" si="37"/>
        <v>0.5</v>
      </c>
      <c r="S515" s="533"/>
      <c r="T515"/>
      <c r="U515"/>
      <c r="V515"/>
      <c r="W515"/>
    </row>
    <row r="516" spans="15:23">
      <c r="O516" s="340"/>
      <c r="Q516" s="275">
        <f t="shared" si="38"/>
        <v>0.45200000000000035</v>
      </c>
      <c r="R516" s="276">
        <f t="shared" si="37"/>
        <v>0.5</v>
      </c>
      <c r="S516" s="533"/>
      <c r="T516"/>
      <c r="U516"/>
      <c r="V516"/>
      <c r="W516"/>
    </row>
    <row r="517" spans="15:23">
      <c r="O517" s="340"/>
      <c r="Q517" s="275">
        <f t="shared" si="38"/>
        <v>0.45300000000000035</v>
      </c>
      <c r="R517" s="276">
        <f t="shared" si="37"/>
        <v>0.5</v>
      </c>
      <c r="S517" s="533"/>
      <c r="T517"/>
      <c r="U517"/>
      <c r="V517"/>
      <c r="W517"/>
    </row>
    <row r="518" spans="15:23">
      <c r="O518" s="340"/>
      <c r="Q518" s="275">
        <f t="shared" si="38"/>
        <v>0.45400000000000035</v>
      </c>
      <c r="R518" s="276">
        <f t="shared" si="37"/>
        <v>0.5</v>
      </c>
      <c r="S518" s="533"/>
      <c r="T518"/>
      <c r="U518"/>
      <c r="V518"/>
      <c r="W518"/>
    </row>
    <row r="519" spans="15:23">
      <c r="O519" s="340"/>
      <c r="Q519" s="275">
        <f t="shared" si="38"/>
        <v>0.45500000000000035</v>
      </c>
      <c r="R519" s="276">
        <f t="shared" si="37"/>
        <v>0.5</v>
      </c>
      <c r="S519" s="533"/>
      <c r="T519"/>
      <c r="U519"/>
      <c r="V519"/>
      <c r="W519"/>
    </row>
    <row r="520" spans="15:23">
      <c r="O520" s="340"/>
      <c r="Q520" s="275">
        <f t="shared" si="38"/>
        <v>0.45600000000000035</v>
      </c>
      <c r="R520" s="276">
        <f t="shared" si="37"/>
        <v>0.5</v>
      </c>
      <c r="S520" s="533"/>
      <c r="T520"/>
      <c r="U520"/>
      <c r="V520"/>
      <c r="W520"/>
    </row>
    <row r="521" spans="15:23">
      <c r="O521" s="340"/>
      <c r="Q521" s="275">
        <f t="shared" si="38"/>
        <v>0.45700000000000035</v>
      </c>
      <c r="R521" s="276">
        <f t="shared" si="37"/>
        <v>0.5</v>
      </c>
      <c r="S521" s="533"/>
      <c r="T521"/>
      <c r="U521"/>
      <c r="V521"/>
      <c r="W521"/>
    </row>
    <row r="522" spans="15:23">
      <c r="O522" s="340"/>
      <c r="Q522" s="275">
        <f t="shared" si="38"/>
        <v>0.45800000000000035</v>
      </c>
      <c r="R522" s="276">
        <f t="shared" si="37"/>
        <v>0.5</v>
      </c>
      <c r="S522" s="533"/>
      <c r="T522"/>
      <c r="U522"/>
      <c r="V522"/>
      <c r="W522"/>
    </row>
    <row r="523" spans="15:23">
      <c r="O523" s="340"/>
      <c r="Q523" s="275">
        <f t="shared" si="38"/>
        <v>0.45900000000000035</v>
      </c>
      <c r="R523" s="276">
        <f t="shared" si="37"/>
        <v>0.5</v>
      </c>
      <c r="S523" s="533"/>
      <c r="T523"/>
      <c r="U523"/>
      <c r="V523"/>
      <c r="W523"/>
    </row>
    <row r="524" spans="15:23">
      <c r="O524" s="340"/>
      <c r="Q524" s="275">
        <f t="shared" si="38"/>
        <v>0.46000000000000035</v>
      </c>
      <c r="R524" s="276">
        <f t="shared" si="37"/>
        <v>0.5</v>
      </c>
      <c r="S524" s="533"/>
      <c r="T524"/>
      <c r="U524"/>
      <c r="V524"/>
      <c r="W524"/>
    </row>
    <row r="525" spans="15:23">
      <c r="O525" s="340"/>
      <c r="Q525" s="275">
        <f t="shared" si="38"/>
        <v>0.46100000000000035</v>
      </c>
      <c r="R525" s="276">
        <f t="shared" si="37"/>
        <v>0.5</v>
      </c>
      <c r="S525" s="533"/>
      <c r="T525"/>
      <c r="U525"/>
      <c r="V525"/>
      <c r="W525"/>
    </row>
    <row r="526" spans="15:23">
      <c r="O526" s="340"/>
      <c r="Q526" s="275">
        <f t="shared" si="38"/>
        <v>0.46200000000000035</v>
      </c>
      <c r="R526" s="276">
        <f t="shared" si="37"/>
        <v>0.5</v>
      </c>
      <c r="S526" s="533"/>
      <c r="T526"/>
      <c r="U526"/>
      <c r="V526"/>
      <c r="W526"/>
    </row>
    <row r="527" spans="15:23">
      <c r="O527" s="340"/>
      <c r="Q527" s="275">
        <f t="shared" si="38"/>
        <v>0.46300000000000036</v>
      </c>
      <c r="R527" s="276">
        <f t="shared" si="37"/>
        <v>0.5</v>
      </c>
      <c r="S527" s="533"/>
      <c r="T527"/>
      <c r="U527"/>
      <c r="V527"/>
      <c r="W527"/>
    </row>
    <row r="528" spans="15:23">
      <c r="O528" s="340"/>
      <c r="Q528" s="275">
        <f t="shared" si="38"/>
        <v>0.46400000000000036</v>
      </c>
      <c r="R528" s="276">
        <f t="shared" si="37"/>
        <v>0.5</v>
      </c>
      <c r="S528" s="533"/>
      <c r="T528"/>
      <c r="U528"/>
      <c r="V528"/>
      <c r="W528"/>
    </row>
    <row r="529" spans="15:23">
      <c r="O529" s="340"/>
      <c r="Q529" s="275">
        <f t="shared" si="38"/>
        <v>0.46500000000000036</v>
      </c>
      <c r="R529" s="276">
        <f t="shared" si="37"/>
        <v>0.5</v>
      </c>
      <c r="S529" s="533"/>
      <c r="T529"/>
      <c r="U529"/>
      <c r="V529"/>
      <c r="W529"/>
    </row>
    <row r="530" spans="15:23">
      <c r="O530" s="340"/>
      <c r="Q530" s="275">
        <f t="shared" si="38"/>
        <v>0.46600000000000036</v>
      </c>
      <c r="R530" s="276">
        <f t="shared" si="37"/>
        <v>0.5</v>
      </c>
      <c r="S530" s="533"/>
      <c r="T530"/>
      <c r="U530"/>
      <c r="V530"/>
      <c r="W530"/>
    </row>
    <row r="531" spans="15:23">
      <c r="O531" s="340"/>
      <c r="Q531" s="275">
        <f t="shared" si="38"/>
        <v>0.46700000000000036</v>
      </c>
      <c r="R531" s="276">
        <f t="shared" si="37"/>
        <v>0.5</v>
      </c>
      <c r="S531" s="533"/>
      <c r="T531"/>
      <c r="U531"/>
      <c r="V531"/>
      <c r="W531"/>
    </row>
    <row r="532" spans="15:23">
      <c r="O532" s="340"/>
      <c r="Q532" s="275">
        <f t="shared" si="38"/>
        <v>0.46800000000000036</v>
      </c>
      <c r="R532" s="276">
        <f t="shared" si="37"/>
        <v>0.5</v>
      </c>
      <c r="S532" s="533"/>
      <c r="T532"/>
      <c r="U532"/>
      <c r="V532"/>
      <c r="W532"/>
    </row>
    <row r="533" spans="15:23">
      <c r="O533" s="340"/>
      <c r="Q533" s="275">
        <f t="shared" si="38"/>
        <v>0.46900000000000036</v>
      </c>
      <c r="R533" s="276">
        <f t="shared" si="37"/>
        <v>0.5</v>
      </c>
      <c r="S533" s="533"/>
      <c r="T533"/>
      <c r="U533"/>
      <c r="V533"/>
      <c r="W533"/>
    </row>
    <row r="534" spans="15:23">
      <c r="O534" s="340"/>
      <c r="Q534" s="275">
        <f t="shared" si="38"/>
        <v>0.47000000000000036</v>
      </c>
      <c r="R534" s="276">
        <f t="shared" si="37"/>
        <v>0.5</v>
      </c>
      <c r="S534" s="533"/>
      <c r="T534"/>
      <c r="U534"/>
      <c r="V534"/>
      <c r="W534"/>
    </row>
    <row r="535" spans="15:23">
      <c r="O535" s="340"/>
      <c r="Q535" s="275">
        <f t="shared" si="38"/>
        <v>0.47100000000000036</v>
      </c>
      <c r="R535" s="276">
        <f t="shared" si="37"/>
        <v>0.5</v>
      </c>
      <c r="S535" s="533"/>
      <c r="T535"/>
      <c r="U535"/>
      <c r="V535"/>
      <c r="W535"/>
    </row>
    <row r="536" spans="15:23">
      <c r="O536" s="340"/>
      <c r="Q536" s="275">
        <f t="shared" si="38"/>
        <v>0.47200000000000036</v>
      </c>
      <c r="R536" s="276">
        <f t="shared" si="37"/>
        <v>0.5</v>
      </c>
      <c r="S536" s="533"/>
      <c r="T536"/>
      <c r="U536"/>
      <c r="V536"/>
      <c r="W536"/>
    </row>
    <row r="537" spans="15:23">
      <c r="O537" s="340"/>
      <c r="Q537" s="275">
        <f t="shared" si="38"/>
        <v>0.47300000000000036</v>
      </c>
      <c r="R537" s="276">
        <f t="shared" si="37"/>
        <v>0.5</v>
      </c>
      <c r="S537" s="533"/>
      <c r="T537"/>
      <c r="U537"/>
      <c r="V537"/>
      <c r="W537"/>
    </row>
    <row r="538" spans="15:23">
      <c r="O538" s="340"/>
      <c r="Q538" s="275">
        <f t="shared" si="38"/>
        <v>0.47400000000000037</v>
      </c>
      <c r="R538" s="276">
        <f t="shared" ref="R538:R569" si="39">5/8</f>
        <v>0.625</v>
      </c>
      <c r="S538" s="533"/>
      <c r="T538"/>
      <c r="U538"/>
      <c r="V538"/>
      <c r="W538"/>
    </row>
    <row r="539" spans="15:23">
      <c r="O539" s="340"/>
      <c r="Q539" s="275">
        <f t="shared" si="38"/>
        <v>0.47500000000000037</v>
      </c>
      <c r="R539" s="276">
        <f t="shared" si="39"/>
        <v>0.625</v>
      </c>
      <c r="S539" s="533"/>
      <c r="T539"/>
      <c r="U539"/>
      <c r="V539"/>
      <c r="W539"/>
    </row>
    <row r="540" spans="15:23">
      <c r="O540" s="340"/>
      <c r="Q540" s="275">
        <f t="shared" si="38"/>
        <v>0.47600000000000037</v>
      </c>
      <c r="R540" s="276">
        <f t="shared" si="39"/>
        <v>0.625</v>
      </c>
      <c r="S540" s="533"/>
      <c r="T540"/>
      <c r="U540"/>
      <c r="V540"/>
      <c r="W540"/>
    </row>
    <row r="541" spans="15:23">
      <c r="O541" s="340"/>
      <c r="Q541" s="275">
        <f t="shared" si="38"/>
        <v>0.47700000000000037</v>
      </c>
      <c r="R541" s="276">
        <f t="shared" si="39"/>
        <v>0.625</v>
      </c>
      <c r="S541" s="533"/>
      <c r="T541"/>
      <c r="U541"/>
      <c r="V541"/>
      <c r="W541"/>
    </row>
    <row r="542" spans="15:23">
      <c r="O542" s="340"/>
      <c r="Q542" s="275">
        <f t="shared" si="38"/>
        <v>0.47800000000000037</v>
      </c>
      <c r="R542" s="276">
        <f t="shared" si="39"/>
        <v>0.625</v>
      </c>
      <c r="S542" s="533"/>
      <c r="T542"/>
      <c r="U542"/>
      <c r="V542"/>
      <c r="W542"/>
    </row>
    <row r="543" spans="15:23">
      <c r="O543" s="340"/>
      <c r="Q543" s="275">
        <f t="shared" si="38"/>
        <v>0.47900000000000037</v>
      </c>
      <c r="R543" s="276">
        <f t="shared" si="39"/>
        <v>0.625</v>
      </c>
      <c r="S543" s="533"/>
      <c r="T543"/>
      <c r="U543"/>
      <c r="V543"/>
      <c r="W543"/>
    </row>
    <row r="544" spans="15:23">
      <c r="O544" s="340"/>
      <c r="Q544" s="275">
        <f t="shared" si="38"/>
        <v>0.48000000000000037</v>
      </c>
      <c r="R544" s="276">
        <f t="shared" si="39"/>
        <v>0.625</v>
      </c>
      <c r="S544" s="533"/>
      <c r="T544"/>
      <c r="U544"/>
      <c r="V544"/>
      <c r="W544"/>
    </row>
    <row r="545" spans="15:23">
      <c r="O545" s="340"/>
      <c r="Q545" s="275">
        <f t="shared" si="38"/>
        <v>0.48100000000000037</v>
      </c>
      <c r="R545" s="276">
        <f t="shared" si="39"/>
        <v>0.625</v>
      </c>
      <c r="S545" s="533"/>
      <c r="T545"/>
      <c r="U545"/>
      <c r="V545"/>
      <c r="W545"/>
    </row>
    <row r="546" spans="15:23">
      <c r="O546" s="340"/>
      <c r="Q546" s="275">
        <f t="shared" si="38"/>
        <v>0.48200000000000037</v>
      </c>
      <c r="R546" s="276">
        <f t="shared" si="39"/>
        <v>0.625</v>
      </c>
      <c r="S546" s="533"/>
      <c r="T546"/>
      <c r="U546"/>
      <c r="V546"/>
      <c r="W546"/>
    </row>
    <row r="547" spans="15:23">
      <c r="O547" s="340"/>
      <c r="Q547" s="275">
        <f t="shared" si="38"/>
        <v>0.48300000000000037</v>
      </c>
      <c r="R547" s="276">
        <f t="shared" si="39"/>
        <v>0.625</v>
      </c>
      <c r="S547" s="533"/>
      <c r="T547"/>
      <c r="U547"/>
      <c r="V547"/>
      <c r="W547"/>
    </row>
    <row r="548" spans="15:23">
      <c r="O548" s="340"/>
      <c r="Q548" s="275">
        <f t="shared" si="38"/>
        <v>0.48400000000000037</v>
      </c>
      <c r="R548" s="276">
        <f t="shared" si="39"/>
        <v>0.625</v>
      </c>
      <c r="S548" s="533"/>
      <c r="T548"/>
      <c r="U548"/>
      <c r="V548"/>
      <c r="W548"/>
    </row>
    <row r="549" spans="15:23">
      <c r="O549" s="340"/>
      <c r="Q549" s="275">
        <f t="shared" si="38"/>
        <v>0.48500000000000038</v>
      </c>
      <c r="R549" s="276">
        <f t="shared" si="39"/>
        <v>0.625</v>
      </c>
      <c r="S549" s="533"/>
      <c r="T549"/>
      <c r="U549"/>
      <c r="V549"/>
      <c r="W549"/>
    </row>
    <row r="550" spans="15:23">
      <c r="O550" s="340"/>
      <c r="Q550" s="275">
        <f t="shared" si="38"/>
        <v>0.48600000000000038</v>
      </c>
      <c r="R550" s="276">
        <f t="shared" si="39"/>
        <v>0.625</v>
      </c>
      <c r="S550" s="533"/>
      <c r="T550"/>
      <c r="U550"/>
      <c r="V550"/>
      <c r="W550"/>
    </row>
    <row r="551" spans="15:23">
      <c r="O551" s="340"/>
      <c r="Q551" s="275">
        <f t="shared" si="38"/>
        <v>0.48700000000000038</v>
      </c>
      <c r="R551" s="276">
        <f t="shared" si="39"/>
        <v>0.625</v>
      </c>
      <c r="S551" s="533"/>
      <c r="T551"/>
      <c r="U551"/>
      <c r="V551"/>
      <c r="W551"/>
    </row>
    <row r="552" spans="15:23">
      <c r="O552" s="340"/>
      <c r="Q552" s="275">
        <f t="shared" si="38"/>
        <v>0.48800000000000038</v>
      </c>
      <c r="R552" s="276">
        <f t="shared" si="39"/>
        <v>0.625</v>
      </c>
      <c r="S552" s="533"/>
      <c r="T552"/>
      <c r="U552"/>
      <c r="V552"/>
      <c r="W552"/>
    </row>
    <row r="553" spans="15:23">
      <c r="O553" s="340"/>
      <c r="Q553" s="275">
        <f t="shared" si="38"/>
        <v>0.48900000000000038</v>
      </c>
      <c r="R553" s="276">
        <f t="shared" si="39"/>
        <v>0.625</v>
      </c>
      <c r="S553" s="533"/>
      <c r="T553"/>
      <c r="U553"/>
      <c r="V553"/>
      <c r="W553"/>
    </row>
    <row r="554" spans="15:23">
      <c r="O554" s="340"/>
      <c r="Q554" s="275">
        <f t="shared" si="38"/>
        <v>0.49000000000000038</v>
      </c>
      <c r="R554" s="276">
        <f t="shared" si="39"/>
        <v>0.625</v>
      </c>
      <c r="S554" s="533"/>
      <c r="T554"/>
      <c r="U554"/>
      <c r="V554"/>
      <c r="W554"/>
    </row>
    <row r="555" spans="15:23">
      <c r="O555" s="340"/>
      <c r="Q555" s="275">
        <f t="shared" si="38"/>
        <v>0.49100000000000038</v>
      </c>
      <c r="R555" s="276">
        <f t="shared" si="39"/>
        <v>0.625</v>
      </c>
      <c r="S555" s="533"/>
      <c r="T555"/>
      <c r="U555"/>
      <c r="V555"/>
      <c r="W555"/>
    </row>
    <row r="556" spans="15:23">
      <c r="O556" s="340"/>
      <c r="Q556" s="275">
        <f t="shared" si="38"/>
        <v>0.49200000000000038</v>
      </c>
      <c r="R556" s="276">
        <f t="shared" si="39"/>
        <v>0.625</v>
      </c>
      <c r="S556" s="533"/>
      <c r="T556"/>
      <c r="U556"/>
      <c r="V556"/>
      <c r="W556"/>
    </row>
    <row r="557" spans="15:23">
      <c r="O557" s="340"/>
      <c r="Q557" s="275">
        <f t="shared" si="38"/>
        <v>0.49300000000000038</v>
      </c>
      <c r="R557" s="276">
        <f t="shared" si="39"/>
        <v>0.625</v>
      </c>
      <c r="S557" s="533"/>
      <c r="T557"/>
      <c r="U557"/>
      <c r="V557"/>
      <c r="W557"/>
    </row>
    <row r="558" spans="15:23">
      <c r="O558" s="340"/>
      <c r="Q558" s="275">
        <f t="shared" si="38"/>
        <v>0.49400000000000038</v>
      </c>
      <c r="R558" s="276">
        <f t="shared" si="39"/>
        <v>0.625</v>
      </c>
      <c r="S558" s="533"/>
      <c r="T558"/>
      <c r="U558"/>
      <c r="V558"/>
      <c r="W558"/>
    </row>
    <row r="559" spans="15:23">
      <c r="O559" s="340"/>
      <c r="Q559" s="275">
        <f t="shared" si="38"/>
        <v>0.49500000000000038</v>
      </c>
      <c r="R559" s="276">
        <f t="shared" si="39"/>
        <v>0.625</v>
      </c>
      <c r="S559" s="533"/>
      <c r="T559"/>
      <c r="U559"/>
      <c r="V559"/>
      <c r="W559"/>
    </row>
    <row r="560" spans="15:23">
      <c r="O560" s="340"/>
      <c r="Q560" s="275">
        <f t="shared" si="38"/>
        <v>0.49600000000000039</v>
      </c>
      <c r="R560" s="276">
        <f t="shared" si="39"/>
        <v>0.625</v>
      </c>
      <c r="S560" s="533"/>
      <c r="T560"/>
      <c r="U560"/>
      <c r="V560"/>
      <c r="W560"/>
    </row>
    <row r="561" spans="15:23">
      <c r="O561" s="340"/>
      <c r="Q561" s="275">
        <f t="shared" si="38"/>
        <v>0.49700000000000039</v>
      </c>
      <c r="R561" s="276">
        <f t="shared" si="39"/>
        <v>0.625</v>
      </c>
      <c r="S561" s="533"/>
      <c r="T561"/>
      <c r="U561"/>
      <c r="V561"/>
      <c r="W561"/>
    </row>
    <row r="562" spans="15:23">
      <c r="O562" s="340"/>
      <c r="Q562" s="275">
        <f t="shared" si="38"/>
        <v>0.49800000000000039</v>
      </c>
      <c r="R562" s="276">
        <f t="shared" si="39"/>
        <v>0.625</v>
      </c>
      <c r="S562" s="533"/>
      <c r="T562"/>
      <c r="U562"/>
      <c r="V562"/>
      <c r="W562"/>
    </row>
    <row r="563" spans="15:23">
      <c r="O563" s="340"/>
      <c r="Q563" s="275">
        <f t="shared" si="38"/>
        <v>0.49900000000000039</v>
      </c>
      <c r="R563" s="276">
        <f t="shared" si="39"/>
        <v>0.625</v>
      </c>
      <c r="S563" s="533"/>
      <c r="T563"/>
      <c r="U563"/>
      <c r="V563"/>
      <c r="W563"/>
    </row>
    <row r="564" spans="15:23">
      <c r="O564" s="340"/>
      <c r="Q564" s="275">
        <f t="shared" si="38"/>
        <v>0.50000000000000033</v>
      </c>
      <c r="R564" s="276">
        <f t="shared" si="39"/>
        <v>0.625</v>
      </c>
      <c r="S564" s="533"/>
      <c r="T564"/>
      <c r="U564"/>
      <c r="V564"/>
      <c r="W564"/>
    </row>
    <row r="565" spans="15:23">
      <c r="O565" s="340"/>
      <c r="Q565" s="275">
        <f t="shared" si="38"/>
        <v>0.50100000000000033</v>
      </c>
      <c r="R565" s="276">
        <f t="shared" si="39"/>
        <v>0.625</v>
      </c>
      <c r="S565" s="533"/>
      <c r="T565"/>
      <c r="U565"/>
      <c r="V565"/>
      <c r="W565"/>
    </row>
    <row r="566" spans="15:23">
      <c r="O566" s="340"/>
      <c r="Q566" s="275">
        <f t="shared" si="38"/>
        <v>0.50200000000000033</v>
      </c>
      <c r="R566" s="276">
        <f t="shared" si="39"/>
        <v>0.625</v>
      </c>
      <c r="S566" s="533"/>
      <c r="T566"/>
      <c r="U566"/>
      <c r="V566"/>
      <c r="W566"/>
    </row>
    <row r="567" spans="15:23">
      <c r="O567" s="340"/>
      <c r="Q567" s="275">
        <f t="shared" si="38"/>
        <v>0.50300000000000034</v>
      </c>
      <c r="R567" s="276">
        <f t="shared" si="39"/>
        <v>0.625</v>
      </c>
      <c r="S567" s="533"/>
      <c r="T567"/>
      <c r="U567"/>
      <c r="V567"/>
      <c r="W567"/>
    </row>
    <row r="568" spans="15:23">
      <c r="O568" s="340"/>
      <c r="Q568" s="275">
        <f t="shared" si="38"/>
        <v>0.50400000000000034</v>
      </c>
      <c r="R568" s="276">
        <f t="shared" si="39"/>
        <v>0.625</v>
      </c>
      <c r="S568" s="533"/>
      <c r="T568"/>
      <c r="U568"/>
      <c r="V568"/>
      <c r="W568"/>
    </row>
    <row r="569" spans="15:23">
      <c r="O569" s="340"/>
      <c r="Q569" s="275">
        <f t="shared" si="38"/>
        <v>0.50500000000000034</v>
      </c>
      <c r="R569" s="276">
        <f t="shared" si="39"/>
        <v>0.625</v>
      </c>
      <c r="S569" s="533"/>
      <c r="T569"/>
      <c r="U569"/>
      <c r="V569"/>
      <c r="W569"/>
    </row>
    <row r="570" spans="15:23">
      <c r="O570" s="340"/>
      <c r="Q570" s="275">
        <f t="shared" si="38"/>
        <v>0.50600000000000034</v>
      </c>
      <c r="R570" s="276">
        <f t="shared" ref="R570:R601" si="40">5/8</f>
        <v>0.625</v>
      </c>
      <c r="S570" s="533"/>
      <c r="T570"/>
      <c r="U570"/>
      <c r="V570"/>
      <c r="W570"/>
    </row>
    <row r="571" spans="15:23">
      <c r="O571" s="340"/>
      <c r="Q571" s="275">
        <f t="shared" si="38"/>
        <v>0.50700000000000034</v>
      </c>
      <c r="R571" s="276">
        <f t="shared" si="40"/>
        <v>0.625</v>
      </c>
      <c r="S571" s="533"/>
      <c r="T571"/>
      <c r="U571"/>
      <c r="V571"/>
      <c r="W571"/>
    </row>
    <row r="572" spans="15:23">
      <c r="O572" s="340"/>
      <c r="Q572" s="275">
        <f t="shared" si="38"/>
        <v>0.50800000000000034</v>
      </c>
      <c r="R572" s="276">
        <f t="shared" si="40"/>
        <v>0.625</v>
      </c>
      <c r="S572" s="533"/>
      <c r="T572"/>
      <c r="U572"/>
      <c r="V572"/>
      <c r="W572"/>
    </row>
    <row r="573" spans="15:23">
      <c r="O573" s="340"/>
      <c r="Q573" s="275">
        <f t="shared" si="38"/>
        <v>0.50900000000000034</v>
      </c>
      <c r="R573" s="276">
        <f t="shared" si="40"/>
        <v>0.625</v>
      </c>
      <c r="S573" s="533"/>
      <c r="T573"/>
      <c r="U573"/>
      <c r="V573"/>
      <c r="W573"/>
    </row>
    <row r="574" spans="15:23">
      <c r="O574" s="340"/>
      <c r="Q574" s="275">
        <f t="shared" si="38"/>
        <v>0.51000000000000034</v>
      </c>
      <c r="R574" s="276">
        <f t="shared" si="40"/>
        <v>0.625</v>
      </c>
      <c r="S574" s="533"/>
      <c r="T574"/>
      <c r="U574"/>
      <c r="V574"/>
      <c r="W574"/>
    </row>
    <row r="575" spans="15:23">
      <c r="O575" s="340"/>
      <c r="Q575" s="275">
        <f t="shared" si="38"/>
        <v>0.51100000000000034</v>
      </c>
      <c r="R575" s="276">
        <f t="shared" si="40"/>
        <v>0.625</v>
      </c>
      <c r="S575" s="533"/>
      <c r="T575"/>
      <c r="U575"/>
      <c r="V575"/>
      <c r="W575"/>
    </row>
    <row r="576" spans="15:23">
      <c r="O576" s="340"/>
      <c r="Q576" s="275">
        <f t="shared" si="38"/>
        <v>0.51200000000000034</v>
      </c>
      <c r="R576" s="276">
        <f t="shared" si="40"/>
        <v>0.625</v>
      </c>
      <c r="S576" s="533"/>
      <c r="T576"/>
      <c r="U576"/>
      <c r="V576"/>
      <c r="W576"/>
    </row>
    <row r="577" spans="15:23">
      <c r="O577" s="340"/>
      <c r="Q577" s="275">
        <f t="shared" ref="Q577:Q640" si="41">Q576+0.001</f>
        <v>0.51300000000000034</v>
      </c>
      <c r="R577" s="276">
        <f t="shared" si="40"/>
        <v>0.625</v>
      </c>
      <c r="S577" s="533"/>
      <c r="T577"/>
      <c r="U577"/>
      <c r="V577"/>
      <c r="W577"/>
    </row>
    <row r="578" spans="15:23">
      <c r="O578" s="340"/>
      <c r="Q578" s="275">
        <f t="shared" si="41"/>
        <v>0.51400000000000035</v>
      </c>
      <c r="R578" s="276">
        <f t="shared" si="40"/>
        <v>0.625</v>
      </c>
      <c r="S578" s="533"/>
      <c r="T578"/>
      <c r="U578"/>
      <c r="V578"/>
      <c r="W578"/>
    </row>
    <row r="579" spans="15:23">
      <c r="O579" s="340"/>
      <c r="Q579" s="275">
        <f t="shared" si="41"/>
        <v>0.51500000000000035</v>
      </c>
      <c r="R579" s="276">
        <f t="shared" si="40"/>
        <v>0.625</v>
      </c>
      <c r="S579" s="533"/>
      <c r="T579"/>
      <c r="U579"/>
      <c r="V579"/>
      <c r="W579"/>
    </row>
    <row r="580" spans="15:23">
      <c r="O580" s="340"/>
      <c r="Q580" s="275">
        <f t="shared" si="41"/>
        <v>0.51600000000000035</v>
      </c>
      <c r="R580" s="276">
        <f t="shared" si="40"/>
        <v>0.625</v>
      </c>
      <c r="S580" s="533"/>
      <c r="T580"/>
      <c r="U580"/>
      <c r="V580"/>
      <c r="W580"/>
    </row>
    <row r="581" spans="15:23">
      <c r="O581" s="340"/>
      <c r="Q581" s="275">
        <f t="shared" si="41"/>
        <v>0.51700000000000035</v>
      </c>
      <c r="R581" s="276">
        <f t="shared" si="40"/>
        <v>0.625</v>
      </c>
      <c r="S581" s="533"/>
      <c r="T581"/>
      <c r="U581"/>
      <c r="V581"/>
      <c r="W581"/>
    </row>
    <row r="582" spans="15:23">
      <c r="O582" s="340"/>
      <c r="Q582" s="275">
        <f t="shared" si="41"/>
        <v>0.51800000000000035</v>
      </c>
      <c r="R582" s="276">
        <f t="shared" si="40"/>
        <v>0.625</v>
      </c>
      <c r="S582" s="533"/>
      <c r="T582"/>
      <c r="U582"/>
      <c r="V582"/>
      <c r="W582"/>
    </row>
    <row r="583" spans="15:23">
      <c r="O583" s="340"/>
      <c r="Q583" s="275">
        <f t="shared" si="41"/>
        <v>0.51900000000000035</v>
      </c>
      <c r="R583" s="276">
        <f t="shared" si="40"/>
        <v>0.625</v>
      </c>
      <c r="S583" s="533"/>
      <c r="T583"/>
      <c r="U583"/>
      <c r="V583"/>
      <c r="W583"/>
    </row>
    <row r="584" spans="15:23">
      <c r="O584" s="340"/>
      <c r="Q584" s="275">
        <f t="shared" si="41"/>
        <v>0.52000000000000035</v>
      </c>
      <c r="R584" s="276">
        <f t="shared" si="40"/>
        <v>0.625</v>
      </c>
      <c r="S584" s="533"/>
      <c r="T584"/>
      <c r="U584"/>
      <c r="V584"/>
      <c r="W584"/>
    </row>
    <row r="585" spans="15:23">
      <c r="O585" s="340"/>
      <c r="Q585" s="275">
        <f t="shared" si="41"/>
        <v>0.52100000000000035</v>
      </c>
      <c r="R585" s="276">
        <f t="shared" si="40"/>
        <v>0.625</v>
      </c>
      <c r="S585" s="533"/>
      <c r="T585"/>
      <c r="U585"/>
      <c r="V585"/>
      <c r="W585"/>
    </row>
    <row r="586" spans="15:23">
      <c r="O586" s="340"/>
      <c r="Q586" s="275">
        <f t="shared" si="41"/>
        <v>0.52200000000000035</v>
      </c>
      <c r="R586" s="276">
        <f t="shared" si="40"/>
        <v>0.625</v>
      </c>
      <c r="S586" s="533"/>
      <c r="T586"/>
      <c r="U586"/>
      <c r="V586"/>
      <c r="W586"/>
    </row>
    <row r="587" spans="15:23">
      <c r="O587" s="340"/>
      <c r="Q587" s="275">
        <f t="shared" si="41"/>
        <v>0.52300000000000035</v>
      </c>
      <c r="R587" s="276">
        <f t="shared" si="40"/>
        <v>0.625</v>
      </c>
      <c r="S587" s="533"/>
      <c r="T587"/>
      <c r="U587"/>
      <c r="V587"/>
      <c r="W587"/>
    </row>
    <row r="588" spans="15:23">
      <c r="O588" s="340"/>
      <c r="Q588" s="275">
        <f t="shared" si="41"/>
        <v>0.52400000000000035</v>
      </c>
      <c r="R588" s="276">
        <f t="shared" si="40"/>
        <v>0.625</v>
      </c>
      <c r="S588" s="533"/>
      <c r="T588"/>
      <c r="U588"/>
      <c r="V588"/>
      <c r="W588"/>
    </row>
    <row r="589" spans="15:23">
      <c r="O589" s="340"/>
      <c r="Q589" s="275">
        <f t="shared" si="41"/>
        <v>0.52500000000000036</v>
      </c>
      <c r="R589" s="276">
        <f t="shared" si="40"/>
        <v>0.625</v>
      </c>
      <c r="S589" s="533"/>
      <c r="T589"/>
      <c r="U589"/>
      <c r="V589"/>
      <c r="W589"/>
    </row>
    <row r="590" spans="15:23">
      <c r="O590" s="340"/>
      <c r="Q590" s="275">
        <f t="shared" si="41"/>
        <v>0.52600000000000036</v>
      </c>
      <c r="R590" s="276">
        <f t="shared" si="40"/>
        <v>0.625</v>
      </c>
      <c r="S590" s="533"/>
      <c r="T590"/>
      <c r="U590"/>
      <c r="V590"/>
      <c r="W590"/>
    </row>
    <row r="591" spans="15:23">
      <c r="O591" s="340"/>
      <c r="Q591" s="275">
        <f t="shared" si="41"/>
        <v>0.52700000000000036</v>
      </c>
      <c r="R591" s="276">
        <f t="shared" si="40"/>
        <v>0.625</v>
      </c>
      <c r="S591" s="533"/>
      <c r="T591"/>
      <c r="U591"/>
      <c r="V591"/>
      <c r="W591"/>
    </row>
    <row r="592" spans="15:23">
      <c r="O592" s="340"/>
      <c r="Q592" s="275">
        <f t="shared" si="41"/>
        <v>0.52800000000000036</v>
      </c>
      <c r="R592" s="276">
        <f t="shared" si="40"/>
        <v>0.625</v>
      </c>
      <c r="S592" s="533"/>
      <c r="T592"/>
      <c r="U592"/>
      <c r="V592"/>
      <c r="W592"/>
    </row>
    <row r="593" spans="15:23">
      <c r="O593" s="340"/>
      <c r="Q593" s="275">
        <f t="shared" si="41"/>
        <v>0.52900000000000036</v>
      </c>
      <c r="R593" s="276">
        <f t="shared" si="40"/>
        <v>0.625</v>
      </c>
      <c r="S593" s="533"/>
      <c r="T593"/>
      <c r="U593"/>
      <c r="V593"/>
      <c r="W593"/>
    </row>
    <row r="594" spans="15:23">
      <c r="O594" s="340"/>
      <c r="Q594" s="275">
        <f t="shared" si="41"/>
        <v>0.53000000000000036</v>
      </c>
      <c r="R594" s="276">
        <f t="shared" si="40"/>
        <v>0.625</v>
      </c>
      <c r="S594" s="533"/>
      <c r="T594"/>
      <c r="U594"/>
      <c r="V594"/>
      <c r="W594"/>
    </row>
    <row r="595" spans="15:23">
      <c r="O595" s="340"/>
      <c r="Q595" s="275">
        <f t="shared" si="41"/>
        <v>0.53100000000000036</v>
      </c>
      <c r="R595" s="276">
        <f t="shared" si="40"/>
        <v>0.625</v>
      </c>
      <c r="S595" s="533"/>
      <c r="T595"/>
      <c r="U595"/>
      <c r="V595"/>
      <c r="W595"/>
    </row>
    <row r="596" spans="15:23">
      <c r="O596" s="340"/>
      <c r="Q596" s="275">
        <f t="shared" si="41"/>
        <v>0.53200000000000036</v>
      </c>
      <c r="R596" s="276">
        <f t="shared" si="40"/>
        <v>0.625</v>
      </c>
      <c r="S596" s="533"/>
      <c r="T596"/>
      <c r="U596"/>
      <c r="V596"/>
      <c r="W596"/>
    </row>
    <row r="597" spans="15:23">
      <c r="O597" s="340"/>
      <c r="Q597" s="275">
        <f t="shared" si="41"/>
        <v>0.53300000000000036</v>
      </c>
      <c r="R597" s="276">
        <f t="shared" si="40"/>
        <v>0.625</v>
      </c>
      <c r="S597" s="533"/>
      <c r="T597"/>
      <c r="U597"/>
      <c r="V597"/>
      <c r="W597"/>
    </row>
    <row r="598" spans="15:23">
      <c r="O598" s="340"/>
      <c r="Q598" s="275">
        <f t="shared" si="41"/>
        <v>0.53400000000000036</v>
      </c>
      <c r="R598" s="276">
        <f t="shared" si="40"/>
        <v>0.625</v>
      </c>
      <c r="S598" s="533"/>
      <c r="T598"/>
      <c r="U598"/>
      <c r="V598"/>
      <c r="W598"/>
    </row>
    <row r="599" spans="15:23">
      <c r="O599" s="340"/>
      <c r="Q599" s="275">
        <f t="shared" si="41"/>
        <v>0.53500000000000036</v>
      </c>
      <c r="R599" s="276">
        <f t="shared" si="40"/>
        <v>0.625</v>
      </c>
      <c r="S599" s="533"/>
      <c r="T599"/>
      <c r="U599"/>
      <c r="V599"/>
      <c r="W599"/>
    </row>
    <row r="600" spans="15:23">
      <c r="O600" s="340"/>
      <c r="Q600" s="275">
        <f t="shared" si="41"/>
        <v>0.53600000000000037</v>
      </c>
      <c r="R600" s="276">
        <f t="shared" si="40"/>
        <v>0.625</v>
      </c>
      <c r="S600" s="533"/>
      <c r="T600"/>
      <c r="U600"/>
      <c r="V600"/>
      <c r="W600"/>
    </row>
    <row r="601" spans="15:23">
      <c r="O601" s="340"/>
      <c r="Q601" s="275">
        <f t="shared" si="41"/>
        <v>0.53700000000000037</v>
      </c>
      <c r="R601" s="276">
        <f t="shared" si="40"/>
        <v>0.625</v>
      </c>
      <c r="S601" s="533"/>
      <c r="T601"/>
      <c r="U601"/>
      <c r="V601"/>
      <c r="W601"/>
    </row>
    <row r="602" spans="15:23">
      <c r="O602" s="340"/>
      <c r="Q602" s="275">
        <f t="shared" si="41"/>
        <v>0.53800000000000037</v>
      </c>
      <c r="R602" s="276">
        <f t="shared" ref="R602:R633" si="42">5/8</f>
        <v>0.625</v>
      </c>
      <c r="S602" s="533"/>
      <c r="T602"/>
      <c r="U602"/>
      <c r="V602"/>
      <c r="W602"/>
    </row>
    <row r="603" spans="15:23">
      <c r="O603" s="340"/>
      <c r="Q603" s="275">
        <f t="shared" si="41"/>
        <v>0.53900000000000037</v>
      </c>
      <c r="R603" s="276">
        <f t="shared" si="42"/>
        <v>0.625</v>
      </c>
      <c r="S603" s="533"/>
      <c r="T603"/>
      <c r="U603"/>
      <c r="V603"/>
      <c r="W603"/>
    </row>
    <row r="604" spans="15:23">
      <c r="O604" s="340"/>
      <c r="Q604" s="275">
        <f t="shared" si="41"/>
        <v>0.54000000000000037</v>
      </c>
      <c r="R604" s="276">
        <f t="shared" si="42"/>
        <v>0.625</v>
      </c>
      <c r="S604" s="533"/>
      <c r="T604"/>
      <c r="U604"/>
      <c r="V604"/>
      <c r="W604"/>
    </row>
    <row r="605" spans="15:23">
      <c r="O605" s="340"/>
      <c r="Q605" s="275">
        <f t="shared" si="41"/>
        <v>0.54100000000000037</v>
      </c>
      <c r="R605" s="276">
        <f t="shared" si="42"/>
        <v>0.625</v>
      </c>
      <c r="S605" s="533"/>
      <c r="T605"/>
      <c r="U605"/>
      <c r="V605"/>
      <c r="W605"/>
    </row>
    <row r="606" spans="15:23">
      <c r="O606" s="340"/>
      <c r="Q606" s="275">
        <f t="shared" si="41"/>
        <v>0.54200000000000037</v>
      </c>
      <c r="R606" s="276">
        <f t="shared" si="42"/>
        <v>0.625</v>
      </c>
      <c r="S606" s="533"/>
      <c r="T606"/>
      <c r="U606"/>
      <c r="V606"/>
      <c r="W606"/>
    </row>
    <row r="607" spans="15:23">
      <c r="O607" s="340"/>
      <c r="Q607" s="275">
        <f t="shared" si="41"/>
        <v>0.54300000000000037</v>
      </c>
      <c r="R607" s="276">
        <f t="shared" si="42"/>
        <v>0.625</v>
      </c>
      <c r="S607" s="533"/>
      <c r="T607"/>
      <c r="U607"/>
      <c r="V607"/>
      <c r="W607"/>
    </row>
    <row r="608" spans="15:23">
      <c r="O608" s="340"/>
      <c r="Q608" s="275">
        <f t="shared" si="41"/>
        <v>0.54400000000000037</v>
      </c>
      <c r="R608" s="276">
        <f t="shared" si="42"/>
        <v>0.625</v>
      </c>
      <c r="S608" s="533"/>
      <c r="T608"/>
      <c r="U608"/>
      <c r="V608"/>
      <c r="W608"/>
    </row>
    <row r="609" spans="15:23">
      <c r="O609" s="340"/>
      <c r="Q609" s="275">
        <f t="shared" si="41"/>
        <v>0.54500000000000037</v>
      </c>
      <c r="R609" s="276">
        <f t="shared" si="42"/>
        <v>0.625</v>
      </c>
      <c r="S609" s="533"/>
      <c r="T609"/>
      <c r="U609"/>
      <c r="V609"/>
      <c r="W609"/>
    </row>
    <row r="610" spans="15:23">
      <c r="O610" s="340"/>
      <c r="Q610" s="275">
        <f t="shared" si="41"/>
        <v>0.54600000000000037</v>
      </c>
      <c r="R610" s="276">
        <f t="shared" si="42"/>
        <v>0.625</v>
      </c>
      <c r="S610" s="533"/>
      <c r="T610"/>
      <c r="U610"/>
      <c r="V610"/>
      <c r="W610"/>
    </row>
    <row r="611" spans="15:23">
      <c r="O611" s="340"/>
      <c r="Q611" s="275">
        <f t="shared" si="41"/>
        <v>0.54700000000000037</v>
      </c>
      <c r="R611" s="276">
        <f t="shared" si="42"/>
        <v>0.625</v>
      </c>
      <c r="S611" s="533"/>
      <c r="T611"/>
      <c r="U611"/>
      <c r="V611"/>
      <c r="W611"/>
    </row>
    <row r="612" spans="15:23">
      <c r="O612" s="340"/>
      <c r="Q612" s="275">
        <f t="shared" si="41"/>
        <v>0.54800000000000038</v>
      </c>
      <c r="R612" s="276">
        <f t="shared" si="42"/>
        <v>0.625</v>
      </c>
      <c r="S612" s="533"/>
      <c r="T612"/>
      <c r="U612"/>
      <c r="V612"/>
      <c r="W612"/>
    </row>
    <row r="613" spans="15:23">
      <c r="O613" s="340"/>
      <c r="Q613" s="275">
        <f t="shared" si="41"/>
        <v>0.54900000000000038</v>
      </c>
      <c r="R613" s="276">
        <f t="shared" si="42"/>
        <v>0.625</v>
      </c>
      <c r="S613" s="533"/>
      <c r="T613"/>
      <c r="U613"/>
      <c r="V613"/>
      <c r="W613"/>
    </row>
    <row r="614" spans="15:23">
      <c r="O614" s="340"/>
      <c r="Q614" s="275">
        <f t="shared" si="41"/>
        <v>0.55000000000000038</v>
      </c>
      <c r="R614" s="276">
        <f t="shared" si="42"/>
        <v>0.625</v>
      </c>
      <c r="S614" s="533"/>
      <c r="T614"/>
      <c r="U614"/>
      <c r="V614"/>
      <c r="W614"/>
    </row>
    <row r="615" spans="15:23">
      <c r="O615" s="340"/>
      <c r="Q615" s="275">
        <f t="shared" si="41"/>
        <v>0.55100000000000038</v>
      </c>
      <c r="R615" s="276">
        <f t="shared" si="42"/>
        <v>0.625</v>
      </c>
      <c r="S615" s="533"/>
      <c r="T615"/>
      <c r="U615"/>
      <c r="V615"/>
      <c r="W615"/>
    </row>
    <row r="616" spans="15:23">
      <c r="O616" s="340"/>
      <c r="Q616" s="275">
        <f t="shared" si="41"/>
        <v>0.55200000000000038</v>
      </c>
      <c r="R616" s="276">
        <f t="shared" si="42"/>
        <v>0.625</v>
      </c>
      <c r="S616" s="533"/>
      <c r="T616"/>
      <c r="U616"/>
      <c r="V616"/>
      <c r="W616"/>
    </row>
    <row r="617" spans="15:23">
      <c r="O617" s="340"/>
      <c r="Q617" s="275">
        <f t="shared" si="41"/>
        <v>0.55300000000000038</v>
      </c>
      <c r="R617" s="276">
        <f t="shared" si="42"/>
        <v>0.625</v>
      </c>
      <c r="S617" s="533"/>
      <c r="T617"/>
      <c r="U617"/>
      <c r="V617"/>
      <c r="W617"/>
    </row>
    <row r="618" spans="15:23">
      <c r="O618" s="340"/>
      <c r="Q618" s="275">
        <f t="shared" si="41"/>
        <v>0.55400000000000038</v>
      </c>
      <c r="R618" s="276">
        <f t="shared" si="42"/>
        <v>0.625</v>
      </c>
      <c r="S618" s="533"/>
      <c r="T618"/>
      <c r="U618"/>
      <c r="V618"/>
      <c r="W618"/>
    </row>
    <row r="619" spans="15:23">
      <c r="O619" s="340"/>
      <c r="Q619" s="275">
        <f t="shared" si="41"/>
        <v>0.55500000000000038</v>
      </c>
      <c r="R619" s="276">
        <f t="shared" si="42"/>
        <v>0.625</v>
      </c>
      <c r="S619" s="533"/>
      <c r="T619"/>
      <c r="U619"/>
      <c r="V619"/>
      <c r="W619"/>
    </row>
    <row r="620" spans="15:23">
      <c r="O620" s="340"/>
      <c r="Q620" s="275">
        <f t="shared" si="41"/>
        <v>0.55600000000000038</v>
      </c>
      <c r="R620" s="276">
        <f t="shared" si="42"/>
        <v>0.625</v>
      </c>
      <c r="S620" s="533"/>
      <c r="T620"/>
      <c r="U620"/>
      <c r="V620"/>
      <c r="W620"/>
    </row>
    <row r="621" spans="15:23">
      <c r="O621" s="340"/>
      <c r="Q621" s="275">
        <f t="shared" si="41"/>
        <v>0.55700000000000038</v>
      </c>
      <c r="R621" s="276">
        <f t="shared" si="42"/>
        <v>0.625</v>
      </c>
      <c r="S621" s="533"/>
      <c r="T621"/>
      <c r="U621"/>
      <c r="V621"/>
      <c r="W621"/>
    </row>
    <row r="622" spans="15:23">
      <c r="O622" s="340"/>
      <c r="Q622" s="275">
        <f t="shared" si="41"/>
        <v>0.55800000000000038</v>
      </c>
      <c r="R622" s="276">
        <f t="shared" si="42"/>
        <v>0.625</v>
      </c>
      <c r="S622" s="533"/>
      <c r="T622"/>
      <c r="U622"/>
      <c r="V622"/>
      <c r="W622"/>
    </row>
    <row r="623" spans="15:23">
      <c r="O623" s="340"/>
      <c r="Q623" s="275">
        <f t="shared" si="41"/>
        <v>0.55900000000000039</v>
      </c>
      <c r="R623" s="276">
        <f t="shared" si="42"/>
        <v>0.625</v>
      </c>
      <c r="S623" s="533"/>
      <c r="T623"/>
      <c r="U623"/>
      <c r="V623"/>
      <c r="W623"/>
    </row>
    <row r="624" spans="15:23">
      <c r="O624" s="340"/>
      <c r="Q624" s="275">
        <f t="shared" si="41"/>
        <v>0.56000000000000039</v>
      </c>
      <c r="R624" s="276">
        <f t="shared" si="42"/>
        <v>0.625</v>
      </c>
      <c r="S624" s="533"/>
      <c r="T624"/>
      <c r="U624"/>
      <c r="V624"/>
      <c r="W624"/>
    </row>
    <row r="625" spans="15:23">
      <c r="O625" s="340"/>
      <c r="Q625" s="275">
        <f t="shared" si="41"/>
        <v>0.56100000000000039</v>
      </c>
      <c r="R625" s="276">
        <f t="shared" si="42"/>
        <v>0.625</v>
      </c>
      <c r="S625" s="533"/>
      <c r="T625"/>
      <c r="U625"/>
      <c r="V625"/>
      <c r="W625"/>
    </row>
    <row r="626" spans="15:23">
      <c r="O626" s="340"/>
      <c r="Q626" s="275">
        <f t="shared" si="41"/>
        <v>0.56200000000000039</v>
      </c>
      <c r="R626" s="276">
        <f t="shared" si="42"/>
        <v>0.625</v>
      </c>
      <c r="S626" s="533"/>
      <c r="T626"/>
      <c r="U626"/>
      <c r="V626"/>
      <c r="W626"/>
    </row>
    <row r="627" spans="15:23">
      <c r="O627" s="340"/>
      <c r="Q627" s="275">
        <f t="shared" si="41"/>
        <v>0.56300000000000039</v>
      </c>
      <c r="R627" s="276">
        <f t="shared" si="42"/>
        <v>0.625</v>
      </c>
      <c r="S627" s="533"/>
      <c r="T627"/>
      <c r="U627"/>
      <c r="V627"/>
      <c r="W627"/>
    </row>
    <row r="628" spans="15:23">
      <c r="O628" s="340"/>
      <c r="Q628" s="275">
        <f t="shared" si="41"/>
        <v>0.56400000000000039</v>
      </c>
      <c r="R628" s="276">
        <f t="shared" si="42"/>
        <v>0.625</v>
      </c>
      <c r="S628" s="533"/>
      <c r="T628"/>
      <c r="U628"/>
      <c r="V628"/>
      <c r="W628"/>
    </row>
    <row r="629" spans="15:23">
      <c r="O629" s="340"/>
      <c r="Q629" s="275">
        <f t="shared" si="41"/>
        <v>0.56500000000000039</v>
      </c>
      <c r="R629" s="276">
        <f t="shared" si="42"/>
        <v>0.625</v>
      </c>
      <c r="S629" s="533"/>
      <c r="T629"/>
      <c r="U629"/>
      <c r="V629"/>
      <c r="W629"/>
    </row>
    <row r="630" spans="15:23">
      <c r="O630" s="340"/>
      <c r="Q630" s="275">
        <f t="shared" si="41"/>
        <v>0.56600000000000039</v>
      </c>
      <c r="R630" s="276">
        <f t="shared" si="42"/>
        <v>0.625</v>
      </c>
      <c r="S630" s="533"/>
      <c r="T630"/>
      <c r="U630"/>
      <c r="V630"/>
      <c r="W630"/>
    </row>
    <row r="631" spans="15:23">
      <c r="O631" s="340"/>
      <c r="Q631" s="275">
        <f t="shared" si="41"/>
        <v>0.56700000000000039</v>
      </c>
      <c r="R631" s="276">
        <f t="shared" si="42"/>
        <v>0.625</v>
      </c>
      <c r="S631" s="533"/>
      <c r="T631"/>
      <c r="U631"/>
      <c r="V631"/>
      <c r="W631"/>
    </row>
    <row r="632" spans="15:23">
      <c r="O632" s="340"/>
      <c r="Q632" s="275">
        <f t="shared" si="41"/>
        <v>0.56800000000000039</v>
      </c>
      <c r="R632" s="276">
        <f t="shared" si="42"/>
        <v>0.625</v>
      </c>
      <c r="S632" s="533"/>
      <c r="T632"/>
      <c r="U632"/>
      <c r="V632"/>
      <c r="W632"/>
    </row>
    <row r="633" spans="15:23">
      <c r="O633" s="340"/>
      <c r="Q633" s="275">
        <f t="shared" si="41"/>
        <v>0.56900000000000039</v>
      </c>
      <c r="R633" s="276">
        <f t="shared" si="42"/>
        <v>0.625</v>
      </c>
      <c r="S633" s="533"/>
      <c r="T633"/>
      <c r="U633"/>
      <c r="V633"/>
      <c r="W633"/>
    </row>
    <row r="634" spans="15:23">
      <c r="O634" s="340"/>
      <c r="Q634" s="275">
        <f t="shared" si="41"/>
        <v>0.5700000000000004</v>
      </c>
      <c r="R634" s="276">
        <f t="shared" ref="R634:R662" si="43">5/8</f>
        <v>0.625</v>
      </c>
      <c r="S634" s="533"/>
      <c r="T634"/>
      <c r="U634"/>
      <c r="V634"/>
      <c r="W634"/>
    </row>
    <row r="635" spans="15:23">
      <c r="O635" s="340"/>
      <c r="Q635" s="275">
        <f t="shared" si="41"/>
        <v>0.5710000000000004</v>
      </c>
      <c r="R635" s="276">
        <f t="shared" si="43"/>
        <v>0.625</v>
      </c>
      <c r="S635" s="533"/>
      <c r="T635"/>
      <c r="U635"/>
      <c r="V635"/>
      <c r="W635"/>
    </row>
    <row r="636" spans="15:23">
      <c r="O636" s="340"/>
      <c r="Q636" s="275">
        <f t="shared" si="41"/>
        <v>0.5720000000000004</v>
      </c>
      <c r="R636" s="276">
        <f t="shared" si="43"/>
        <v>0.625</v>
      </c>
      <c r="S636" s="533"/>
      <c r="T636"/>
      <c r="U636"/>
      <c r="V636"/>
      <c r="W636"/>
    </row>
    <row r="637" spans="15:23">
      <c r="O637" s="340"/>
      <c r="Q637" s="275">
        <f t="shared" si="41"/>
        <v>0.5730000000000004</v>
      </c>
      <c r="R637" s="276">
        <f t="shared" si="43"/>
        <v>0.625</v>
      </c>
      <c r="S637" s="533"/>
      <c r="T637"/>
      <c r="U637"/>
      <c r="V637"/>
      <c r="W637"/>
    </row>
    <row r="638" spans="15:23">
      <c r="O638" s="340"/>
      <c r="Q638" s="275">
        <f t="shared" si="41"/>
        <v>0.5740000000000004</v>
      </c>
      <c r="R638" s="276">
        <f t="shared" si="43"/>
        <v>0.625</v>
      </c>
      <c r="S638" s="533"/>
      <c r="T638"/>
      <c r="U638"/>
      <c r="V638"/>
      <c r="W638"/>
    </row>
    <row r="639" spans="15:23">
      <c r="O639" s="340"/>
      <c r="Q639" s="275">
        <f t="shared" si="41"/>
        <v>0.5750000000000004</v>
      </c>
      <c r="R639" s="276">
        <f t="shared" si="43"/>
        <v>0.625</v>
      </c>
      <c r="S639" s="533"/>
      <c r="T639"/>
      <c r="U639"/>
      <c r="V639"/>
      <c r="W639"/>
    </row>
    <row r="640" spans="15:23">
      <c r="O640" s="340"/>
      <c r="Q640" s="275">
        <f t="shared" si="41"/>
        <v>0.5760000000000004</v>
      </c>
      <c r="R640" s="276">
        <f t="shared" si="43"/>
        <v>0.625</v>
      </c>
      <c r="S640" s="533"/>
      <c r="T640"/>
      <c r="U640"/>
      <c r="V640"/>
      <c r="W640"/>
    </row>
    <row r="641" spans="15:23">
      <c r="O641" s="340"/>
      <c r="Q641" s="275">
        <f t="shared" ref="Q641:Q704" si="44">Q640+0.001</f>
        <v>0.5770000000000004</v>
      </c>
      <c r="R641" s="276">
        <f t="shared" si="43"/>
        <v>0.625</v>
      </c>
      <c r="S641" s="533"/>
      <c r="T641"/>
      <c r="U641"/>
      <c r="V641"/>
      <c r="W641"/>
    </row>
    <row r="642" spans="15:23">
      <c r="O642" s="340"/>
      <c r="Q642" s="275">
        <f t="shared" si="44"/>
        <v>0.5780000000000004</v>
      </c>
      <c r="R642" s="276">
        <f t="shared" si="43"/>
        <v>0.625</v>
      </c>
      <c r="S642" s="533"/>
      <c r="T642"/>
      <c r="U642"/>
      <c r="V642"/>
      <c r="W642"/>
    </row>
    <row r="643" spans="15:23">
      <c r="O643" s="340"/>
      <c r="Q643" s="275">
        <f t="shared" si="44"/>
        <v>0.5790000000000004</v>
      </c>
      <c r="R643" s="276">
        <f t="shared" si="43"/>
        <v>0.625</v>
      </c>
      <c r="S643" s="533"/>
      <c r="T643"/>
      <c r="U643"/>
      <c r="V643"/>
      <c r="W643"/>
    </row>
    <row r="644" spans="15:23">
      <c r="O644" s="340"/>
      <c r="Q644" s="275">
        <f t="shared" si="44"/>
        <v>0.5800000000000004</v>
      </c>
      <c r="R644" s="276">
        <f t="shared" si="43"/>
        <v>0.625</v>
      </c>
      <c r="S644" s="533"/>
      <c r="T644"/>
      <c r="U644"/>
      <c r="V644"/>
      <c r="W644"/>
    </row>
    <row r="645" spans="15:23">
      <c r="O645" s="340"/>
      <c r="Q645" s="275">
        <f t="shared" si="44"/>
        <v>0.58100000000000041</v>
      </c>
      <c r="R645" s="276">
        <f t="shared" si="43"/>
        <v>0.625</v>
      </c>
      <c r="S645" s="533"/>
      <c r="T645"/>
      <c r="U645"/>
      <c r="V645"/>
      <c r="W645"/>
    </row>
    <row r="646" spans="15:23">
      <c r="O646" s="340"/>
      <c r="Q646" s="275">
        <f t="shared" si="44"/>
        <v>0.58200000000000041</v>
      </c>
      <c r="R646" s="276">
        <f t="shared" si="43"/>
        <v>0.625</v>
      </c>
      <c r="S646" s="533"/>
      <c r="T646"/>
      <c r="U646"/>
      <c r="V646"/>
      <c r="W646"/>
    </row>
    <row r="647" spans="15:23">
      <c r="O647" s="340"/>
      <c r="Q647" s="275">
        <f t="shared" si="44"/>
        <v>0.58300000000000041</v>
      </c>
      <c r="R647" s="276">
        <f t="shared" si="43"/>
        <v>0.625</v>
      </c>
      <c r="S647" s="533"/>
      <c r="T647"/>
      <c r="U647"/>
      <c r="V647"/>
      <c r="W647"/>
    </row>
    <row r="648" spans="15:23">
      <c r="O648" s="340"/>
      <c r="Q648" s="275">
        <f t="shared" si="44"/>
        <v>0.58400000000000041</v>
      </c>
      <c r="R648" s="276">
        <f t="shared" si="43"/>
        <v>0.625</v>
      </c>
      <c r="S648" s="533"/>
      <c r="T648"/>
      <c r="U648"/>
      <c r="V648"/>
      <c r="W648"/>
    </row>
    <row r="649" spans="15:23">
      <c r="O649" s="340"/>
      <c r="Q649" s="275">
        <f t="shared" si="44"/>
        <v>0.58500000000000041</v>
      </c>
      <c r="R649" s="276">
        <f t="shared" si="43"/>
        <v>0.625</v>
      </c>
      <c r="S649" s="533"/>
      <c r="T649"/>
      <c r="U649"/>
      <c r="V649"/>
      <c r="W649"/>
    </row>
    <row r="650" spans="15:23">
      <c r="O650" s="340"/>
      <c r="Q650" s="275">
        <f t="shared" si="44"/>
        <v>0.58600000000000041</v>
      </c>
      <c r="R650" s="276">
        <f t="shared" si="43"/>
        <v>0.625</v>
      </c>
      <c r="S650" s="533"/>
      <c r="T650"/>
      <c r="U650"/>
      <c r="V650"/>
      <c r="W650"/>
    </row>
    <row r="651" spans="15:23">
      <c r="O651" s="340"/>
      <c r="Q651" s="275">
        <f t="shared" si="44"/>
        <v>0.58700000000000041</v>
      </c>
      <c r="R651" s="276">
        <f t="shared" si="43"/>
        <v>0.625</v>
      </c>
      <c r="S651" s="533"/>
      <c r="T651"/>
      <c r="U651"/>
      <c r="V651"/>
      <c r="W651"/>
    </row>
    <row r="652" spans="15:23">
      <c r="O652" s="340"/>
      <c r="Q652" s="275">
        <f t="shared" si="44"/>
        <v>0.58800000000000041</v>
      </c>
      <c r="R652" s="276">
        <f t="shared" si="43"/>
        <v>0.625</v>
      </c>
      <c r="S652" s="533"/>
      <c r="T652"/>
      <c r="U652"/>
      <c r="V652"/>
      <c r="W652"/>
    </row>
    <row r="653" spans="15:23">
      <c r="O653" s="340"/>
      <c r="Q653" s="275">
        <f t="shared" si="44"/>
        <v>0.58900000000000041</v>
      </c>
      <c r="R653" s="276">
        <f t="shared" si="43"/>
        <v>0.625</v>
      </c>
      <c r="S653" s="533"/>
      <c r="T653"/>
      <c r="U653"/>
      <c r="V653"/>
      <c r="W653"/>
    </row>
    <row r="654" spans="15:23">
      <c r="O654" s="340"/>
      <c r="Q654" s="275">
        <f t="shared" si="44"/>
        <v>0.59000000000000041</v>
      </c>
      <c r="R654" s="276">
        <f t="shared" si="43"/>
        <v>0.625</v>
      </c>
      <c r="S654" s="533"/>
      <c r="T654"/>
      <c r="U654"/>
      <c r="V654"/>
      <c r="W654"/>
    </row>
    <row r="655" spans="15:23">
      <c r="O655" s="340"/>
      <c r="Q655" s="275">
        <f t="shared" si="44"/>
        <v>0.59100000000000041</v>
      </c>
      <c r="R655" s="276">
        <f t="shared" si="43"/>
        <v>0.625</v>
      </c>
      <c r="S655" s="533"/>
      <c r="T655"/>
      <c r="U655"/>
      <c r="V655"/>
      <c r="W655"/>
    </row>
    <row r="656" spans="15:23">
      <c r="O656" s="340"/>
      <c r="Q656" s="275">
        <f t="shared" si="44"/>
        <v>0.59200000000000041</v>
      </c>
      <c r="R656" s="276">
        <f t="shared" si="43"/>
        <v>0.625</v>
      </c>
      <c r="S656" s="533"/>
      <c r="T656"/>
      <c r="U656"/>
      <c r="V656"/>
      <c r="W656"/>
    </row>
    <row r="657" spans="15:23">
      <c r="O657" s="340"/>
      <c r="Q657" s="275">
        <f t="shared" si="44"/>
        <v>0.59300000000000042</v>
      </c>
      <c r="R657" s="276">
        <f t="shared" si="43"/>
        <v>0.625</v>
      </c>
      <c r="S657" s="533"/>
      <c r="T657"/>
      <c r="U657"/>
      <c r="V657"/>
      <c r="W657"/>
    </row>
    <row r="658" spans="15:23">
      <c r="O658" s="340"/>
      <c r="Q658" s="275">
        <f t="shared" si="44"/>
        <v>0.59400000000000042</v>
      </c>
      <c r="R658" s="276">
        <f t="shared" si="43"/>
        <v>0.625</v>
      </c>
      <c r="S658" s="533"/>
      <c r="T658"/>
      <c r="U658"/>
      <c r="V658"/>
      <c r="W658"/>
    </row>
    <row r="659" spans="15:23">
      <c r="O659" s="340"/>
      <c r="Q659" s="275">
        <f t="shared" si="44"/>
        <v>0.59500000000000042</v>
      </c>
      <c r="R659" s="276">
        <f t="shared" si="43"/>
        <v>0.625</v>
      </c>
      <c r="S659" s="533"/>
      <c r="T659"/>
      <c r="U659"/>
      <c r="V659"/>
      <c r="W659"/>
    </row>
    <row r="660" spans="15:23">
      <c r="O660" s="340"/>
      <c r="Q660" s="275">
        <f t="shared" si="44"/>
        <v>0.59600000000000042</v>
      </c>
      <c r="R660" s="276">
        <f t="shared" si="43"/>
        <v>0.625</v>
      </c>
      <c r="S660" s="533"/>
      <c r="T660"/>
      <c r="U660"/>
      <c r="V660"/>
      <c r="W660"/>
    </row>
    <row r="661" spans="15:23">
      <c r="O661" s="340"/>
      <c r="Q661" s="275">
        <f t="shared" si="44"/>
        <v>0.59700000000000042</v>
      </c>
      <c r="R661" s="276">
        <f t="shared" si="43"/>
        <v>0.625</v>
      </c>
      <c r="S661" s="533"/>
      <c r="T661"/>
      <c r="U661"/>
      <c r="V661"/>
      <c r="W661"/>
    </row>
    <row r="662" spans="15:23">
      <c r="O662" s="340"/>
      <c r="Q662" s="275">
        <f t="shared" si="44"/>
        <v>0.59800000000000042</v>
      </c>
      <c r="R662" s="276">
        <f t="shared" si="43"/>
        <v>0.625</v>
      </c>
      <c r="S662" s="533"/>
      <c r="T662"/>
      <c r="U662"/>
      <c r="V662"/>
      <c r="W662"/>
    </row>
    <row r="663" spans="15:23">
      <c r="O663" s="340"/>
      <c r="Q663" s="275">
        <f t="shared" si="44"/>
        <v>0.59900000000000042</v>
      </c>
      <c r="R663" s="276">
        <f t="shared" ref="R663:R694" si="45">3/4</f>
        <v>0.75</v>
      </c>
      <c r="S663" s="533"/>
      <c r="T663"/>
      <c r="U663"/>
      <c r="V663"/>
      <c r="W663"/>
    </row>
    <row r="664" spans="15:23">
      <c r="O664" s="340"/>
      <c r="Q664" s="275">
        <f t="shared" si="44"/>
        <v>0.60000000000000042</v>
      </c>
      <c r="R664" s="276">
        <f t="shared" si="45"/>
        <v>0.75</v>
      </c>
      <c r="S664" s="533"/>
      <c r="T664"/>
      <c r="U664"/>
      <c r="V664"/>
      <c r="W664"/>
    </row>
    <row r="665" spans="15:23">
      <c r="O665" s="340"/>
      <c r="Q665" s="275">
        <f t="shared" si="44"/>
        <v>0.60100000000000042</v>
      </c>
      <c r="R665" s="276">
        <f t="shared" si="45"/>
        <v>0.75</v>
      </c>
      <c r="S665" s="533"/>
      <c r="T665"/>
      <c r="U665"/>
      <c r="V665"/>
      <c r="W665"/>
    </row>
    <row r="666" spans="15:23">
      <c r="O666" s="340"/>
      <c r="Q666" s="275">
        <f t="shared" si="44"/>
        <v>0.60200000000000042</v>
      </c>
      <c r="R666" s="276">
        <f t="shared" si="45"/>
        <v>0.75</v>
      </c>
      <c r="S666" s="533"/>
      <c r="T666"/>
      <c r="U666"/>
      <c r="V666"/>
      <c r="W666"/>
    </row>
    <row r="667" spans="15:23">
      <c r="O667" s="340"/>
      <c r="Q667" s="275">
        <f t="shared" si="44"/>
        <v>0.60300000000000042</v>
      </c>
      <c r="R667" s="276">
        <f t="shared" si="45"/>
        <v>0.75</v>
      </c>
      <c r="S667" s="533"/>
      <c r="T667"/>
      <c r="U667"/>
      <c r="V667"/>
      <c r="W667"/>
    </row>
    <row r="668" spans="15:23">
      <c r="O668" s="340"/>
      <c r="Q668" s="275">
        <f t="shared" si="44"/>
        <v>0.60400000000000043</v>
      </c>
      <c r="R668" s="276">
        <f t="shared" si="45"/>
        <v>0.75</v>
      </c>
      <c r="S668" s="533"/>
      <c r="T668"/>
      <c r="U668"/>
      <c r="V668"/>
      <c r="W668"/>
    </row>
    <row r="669" spans="15:23">
      <c r="O669" s="340"/>
      <c r="Q669" s="275">
        <f t="shared" si="44"/>
        <v>0.60500000000000043</v>
      </c>
      <c r="R669" s="276">
        <f t="shared" si="45"/>
        <v>0.75</v>
      </c>
      <c r="S669" s="533"/>
      <c r="T669"/>
      <c r="U669"/>
      <c r="V669"/>
      <c r="W669"/>
    </row>
    <row r="670" spans="15:23">
      <c r="O670" s="340"/>
      <c r="Q670" s="275">
        <f t="shared" si="44"/>
        <v>0.60600000000000043</v>
      </c>
      <c r="R670" s="276">
        <f t="shared" si="45"/>
        <v>0.75</v>
      </c>
      <c r="S670" s="533"/>
      <c r="T670"/>
      <c r="U670"/>
      <c r="V670"/>
      <c r="W670"/>
    </row>
    <row r="671" spans="15:23">
      <c r="O671" s="340"/>
      <c r="Q671" s="275">
        <f t="shared" si="44"/>
        <v>0.60700000000000043</v>
      </c>
      <c r="R671" s="276">
        <f t="shared" si="45"/>
        <v>0.75</v>
      </c>
      <c r="S671" s="533"/>
      <c r="T671"/>
      <c r="U671"/>
      <c r="V671"/>
      <c r="W671"/>
    </row>
    <row r="672" spans="15:23">
      <c r="O672" s="340"/>
      <c r="Q672" s="275">
        <f t="shared" si="44"/>
        <v>0.60800000000000043</v>
      </c>
      <c r="R672" s="276">
        <f t="shared" si="45"/>
        <v>0.75</v>
      </c>
      <c r="S672" s="533"/>
      <c r="T672"/>
      <c r="U672"/>
      <c r="V672"/>
      <c r="W672"/>
    </row>
    <row r="673" spans="15:23">
      <c r="O673" s="340"/>
      <c r="Q673" s="275">
        <f t="shared" si="44"/>
        <v>0.60900000000000043</v>
      </c>
      <c r="R673" s="276">
        <f t="shared" si="45"/>
        <v>0.75</v>
      </c>
      <c r="S673" s="533"/>
      <c r="T673"/>
      <c r="U673"/>
      <c r="V673"/>
      <c r="W673"/>
    </row>
    <row r="674" spans="15:23">
      <c r="O674" s="340"/>
      <c r="Q674" s="275">
        <f t="shared" si="44"/>
        <v>0.61000000000000043</v>
      </c>
      <c r="R674" s="276">
        <f t="shared" si="45"/>
        <v>0.75</v>
      </c>
      <c r="S674" s="533"/>
      <c r="T674"/>
      <c r="U674"/>
      <c r="V674"/>
      <c r="W674"/>
    </row>
    <row r="675" spans="15:23">
      <c r="O675" s="340"/>
      <c r="Q675" s="275">
        <f t="shared" si="44"/>
        <v>0.61100000000000043</v>
      </c>
      <c r="R675" s="276">
        <f t="shared" si="45"/>
        <v>0.75</v>
      </c>
      <c r="S675" s="533"/>
      <c r="T675"/>
      <c r="U675"/>
      <c r="V675"/>
      <c r="W675"/>
    </row>
    <row r="676" spans="15:23">
      <c r="O676" s="340"/>
      <c r="Q676" s="275">
        <f t="shared" si="44"/>
        <v>0.61200000000000043</v>
      </c>
      <c r="R676" s="276">
        <f t="shared" si="45"/>
        <v>0.75</v>
      </c>
      <c r="S676" s="533"/>
      <c r="T676"/>
      <c r="U676"/>
      <c r="V676"/>
      <c r="W676"/>
    </row>
    <row r="677" spans="15:23">
      <c r="O677" s="340"/>
      <c r="Q677" s="275">
        <f t="shared" si="44"/>
        <v>0.61300000000000043</v>
      </c>
      <c r="R677" s="276">
        <f t="shared" si="45"/>
        <v>0.75</v>
      </c>
      <c r="S677" s="533"/>
      <c r="T677"/>
      <c r="U677"/>
      <c r="V677"/>
      <c r="W677"/>
    </row>
    <row r="678" spans="15:23">
      <c r="O678" s="340"/>
      <c r="Q678" s="275">
        <f t="shared" si="44"/>
        <v>0.61400000000000043</v>
      </c>
      <c r="R678" s="276">
        <f t="shared" si="45"/>
        <v>0.75</v>
      </c>
      <c r="S678" s="533"/>
      <c r="T678"/>
      <c r="U678"/>
      <c r="V678"/>
      <c r="W678"/>
    </row>
    <row r="679" spans="15:23">
      <c r="O679" s="340"/>
      <c r="Q679" s="275">
        <f t="shared" si="44"/>
        <v>0.61500000000000044</v>
      </c>
      <c r="R679" s="276">
        <f t="shared" si="45"/>
        <v>0.75</v>
      </c>
      <c r="S679" s="533"/>
      <c r="T679"/>
      <c r="U679"/>
      <c r="V679"/>
      <c r="W679"/>
    </row>
    <row r="680" spans="15:23">
      <c r="O680" s="340"/>
      <c r="Q680" s="275">
        <f t="shared" si="44"/>
        <v>0.61600000000000044</v>
      </c>
      <c r="R680" s="276">
        <f t="shared" si="45"/>
        <v>0.75</v>
      </c>
      <c r="S680" s="533"/>
      <c r="T680"/>
      <c r="U680"/>
      <c r="V680"/>
      <c r="W680"/>
    </row>
    <row r="681" spans="15:23">
      <c r="O681" s="340"/>
      <c r="Q681" s="275">
        <f t="shared" si="44"/>
        <v>0.61700000000000044</v>
      </c>
      <c r="R681" s="276">
        <f t="shared" si="45"/>
        <v>0.75</v>
      </c>
      <c r="S681" s="533"/>
      <c r="T681"/>
      <c r="U681"/>
      <c r="V681"/>
      <c r="W681"/>
    </row>
    <row r="682" spans="15:23">
      <c r="O682" s="340"/>
      <c r="Q682" s="275">
        <f t="shared" si="44"/>
        <v>0.61800000000000044</v>
      </c>
      <c r="R682" s="276">
        <f t="shared" si="45"/>
        <v>0.75</v>
      </c>
      <c r="S682" s="533"/>
      <c r="T682"/>
      <c r="U682"/>
      <c r="V682"/>
      <c r="W682"/>
    </row>
    <row r="683" spans="15:23">
      <c r="O683" s="340"/>
      <c r="Q683" s="275">
        <f t="shared" si="44"/>
        <v>0.61900000000000044</v>
      </c>
      <c r="R683" s="276">
        <f t="shared" si="45"/>
        <v>0.75</v>
      </c>
      <c r="S683" s="533"/>
      <c r="T683"/>
      <c r="U683"/>
      <c r="V683"/>
      <c r="W683"/>
    </row>
    <row r="684" spans="15:23">
      <c r="O684" s="340"/>
      <c r="Q684" s="275">
        <f t="shared" si="44"/>
        <v>0.62000000000000044</v>
      </c>
      <c r="R684" s="276">
        <f t="shared" si="45"/>
        <v>0.75</v>
      </c>
      <c r="S684" s="533"/>
      <c r="T684"/>
      <c r="U684"/>
      <c r="V684"/>
      <c r="W684"/>
    </row>
    <row r="685" spans="15:23">
      <c r="O685" s="340"/>
      <c r="Q685" s="275">
        <f t="shared" si="44"/>
        <v>0.62100000000000044</v>
      </c>
      <c r="R685" s="276">
        <f t="shared" si="45"/>
        <v>0.75</v>
      </c>
      <c r="S685" s="533"/>
      <c r="T685"/>
      <c r="U685"/>
      <c r="V685"/>
      <c r="W685"/>
    </row>
    <row r="686" spans="15:23">
      <c r="O686" s="340"/>
      <c r="Q686" s="275">
        <f t="shared" si="44"/>
        <v>0.62200000000000044</v>
      </c>
      <c r="R686" s="276">
        <f t="shared" si="45"/>
        <v>0.75</v>
      </c>
      <c r="S686" s="533"/>
      <c r="T686"/>
      <c r="U686"/>
      <c r="V686"/>
      <c r="W686"/>
    </row>
    <row r="687" spans="15:23">
      <c r="O687" s="340"/>
      <c r="Q687" s="275">
        <f t="shared" si="44"/>
        <v>0.62300000000000044</v>
      </c>
      <c r="R687" s="276">
        <f t="shared" si="45"/>
        <v>0.75</v>
      </c>
      <c r="S687" s="533"/>
      <c r="T687"/>
      <c r="U687"/>
      <c r="V687"/>
      <c r="W687"/>
    </row>
    <row r="688" spans="15:23">
      <c r="O688" s="340"/>
      <c r="Q688" s="275">
        <f t="shared" si="44"/>
        <v>0.62400000000000044</v>
      </c>
      <c r="R688" s="276">
        <f t="shared" si="45"/>
        <v>0.75</v>
      </c>
      <c r="S688" s="533"/>
      <c r="T688"/>
      <c r="U688"/>
      <c r="V688"/>
      <c r="W688"/>
    </row>
    <row r="689" spans="15:23">
      <c r="O689" s="340"/>
      <c r="Q689" s="275">
        <f t="shared" si="44"/>
        <v>0.62500000000000044</v>
      </c>
      <c r="R689" s="276">
        <f t="shared" si="45"/>
        <v>0.75</v>
      </c>
      <c r="S689" s="533"/>
      <c r="T689"/>
      <c r="U689"/>
      <c r="V689"/>
      <c r="W689"/>
    </row>
    <row r="690" spans="15:23">
      <c r="O690" s="340"/>
      <c r="Q690" s="275">
        <f t="shared" si="44"/>
        <v>0.62600000000000044</v>
      </c>
      <c r="R690" s="276">
        <f t="shared" si="45"/>
        <v>0.75</v>
      </c>
      <c r="S690" s="533"/>
      <c r="T690"/>
      <c r="U690"/>
      <c r="V690"/>
      <c r="W690"/>
    </row>
    <row r="691" spans="15:23">
      <c r="O691" s="340"/>
      <c r="Q691" s="275">
        <f t="shared" si="44"/>
        <v>0.62700000000000045</v>
      </c>
      <c r="R691" s="276">
        <f t="shared" si="45"/>
        <v>0.75</v>
      </c>
      <c r="S691" s="533"/>
      <c r="T691"/>
      <c r="U691"/>
      <c r="V691"/>
      <c r="W691"/>
    </row>
    <row r="692" spans="15:23">
      <c r="O692" s="340"/>
      <c r="Q692" s="275">
        <f t="shared" si="44"/>
        <v>0.62800000000000045</v>
      </c>
      <c r="R692" s="276">
        <f t="shared" si="45"/>
        <v>0.75</v>
      </c>
      <c r="S692" s="533"/>
      <c r="T692"/>
      <c r="U692"/>
      <c r="V692"/>
      <c r="W692"/>
    </row>
    <row r="693" spans="15:23">
      <c r="O693" s="340"/>
      <c r="Q693" s="275">
        <f t="shared" si="44"/>
        <v>0.62900000000000045</v>
      </c>
      <c r="R693" s="276">
        <f t="shared" si="45"/>
        <v>0.75</v>
      </c>
      <c r="S693" s="533"/>
      <c r="T693"/>
      <c r="U693"/>
      <c r="V693"/>
      <c r="W693"/>
    </row>
    <row r="694" spans="15:23">
      <c r="O694" s="340"/>
      <c r="Q694" s="275">
        <f t="shared" si="44"/>
        <v>0.63000000000000045</v>
      </c>
      <c r="R694" s="276">
        <f t="shared" si="45"/>
        <v>0.75</v>
      </c>
      <c r="S694" s="533"/>
      <c r="T694"/>
      <c r="U694"/>
      <c r="V694"/>
      <c r="W694"/>
    </row>
    <row r="695" spans="15:23">
      <c r="O695" s="340"/>
      <c r="Q695" s="275">
        <f t="shared" si="44"/>
        <v>0.63100000000000045</v>
      </c>
      <c r="R695" s="276">
        <f t="shared" ref="R695:R726" si="46">3/4</f>
        <v>0.75</v>
      </c>
      <c r="S695" s="533"/>
      <c r="T695"/>
      <c r="U695"/>
      <c r="V695"/>
      <c r="W695"/>
    </row>
    <row r="696" spans="15:23">
      <c r="O696" s="340"/>
      <c r="Q696" s="275">
        <f t="shared" si="44"/>
        <v>0.63200000000000045</v>
      </c>
      <c r="R696" s="276">
        <f t="shared" si="46"/>
        <v>0.75</v>
      </c>
      <c r="S696" s="533"/>
      <c r="T696"/>
      <c r="U696"/>
      <c r="V696"/>
      <c r="W696"/>
    </row>
    <row r="697" spans="15:23">
      <c r="O697" s="340"/>
      <c r="Q697" s="275">
        <f t="shared" si="44"/>
        <v>0.63300000000000045</v>
      </c>
      <c r="R697" s="276">
        <f t="shared" si="46"/>
        <v>0.75</v>
      </c>
      <c r="S697" s="533"/>
      <c r="T697"/>
      <c r="U697"/>
      <c r="V697"/>
      <c r="W697"/>
    </row>
    <row r="698" spans="15:23">
      <c r="O698" s="340"/>
      <c r="Q698" s="275">
        <f t="shared" si="44"/>
        <v>0.63400000000000045</v>
      </c>
      <c r="R698" s="276">
        <f t="shared" si="46"/>
        <v>0.75</v>
      </c>
      <c r="S698" s="533"/>
      <c r="T698"/>
      <c r="U698"/>
      <c r="V698"/>
      <c r="W698"/>
    </row>
    <row r="699" spans="15:23">
      <c r="O699" s="340"/>
      <c r="Q699" s="275">
        <f t="shared" si="44"/>
        <v>0.63500000000000045</v>
      </c>
      <c r="R699" s="276">
        <f t="shared" si="46"/>
        <v>0.75</v>
      </c>
      <c r="S699" s="533"/>
      <c r="T699"/>
      <c r="U699"/>
      <c r="V699"/>
      <c r="W699"/>
    </row>
    <row r="700" spans="15:23">
      <c r="O700" s="340"/>
      <c r="Q700" s="275">
        <f t="shared" si="44"/>
        <v>0.63600000000000045</v>
      </c>
      <c r="R700" s="276">
        <f t="shared" si="46"/>
        <v>0.75</v>
      </c>
      <c r="S700" s="533"/>
      <c r="T700"/>
      <c r="U700"/>
      <c r="V700"/>
      <c r="W700"/>
    </row>
    <row r="701" spans="15:23">
      <c r="O701" s="340"/>
      <c r="Q701" s="275">
        <f t="shared" si="44"/>
        <v>0.63700000000000045</v>
      </c>
      <c r="R701" s="276">
        <f t="shared" si="46"/>
        <v>0.75</v>
      </c>
      <c r="S701" s="533"/>
      <c r="T701"/>
      <c r="U701"/>
      <c r="V701"/>
      <c r="W701"/>
    </row>
    <row r="702" spans="15:23">
      <c r="O702" s="340"/>
      <c r="Q702" s="275">
        <f t="shared" si="44"/>
        <v>0.63800000000000046</v>
      </c>
      <c r="R702" s="276">
        <f t="shared" si="46"/>
        <v>0.75</v>
      </c>
      <c r="S702" s="533"/>
      <c r="T702"/>
      <c r="U702"/>
      <c r="V702"/>
      <c r="W702"/>
    </row>
    <row r="703" spans="15:23">
      <c r="O703" s="340"/>
      <c r="Q703" s="275">
        <f t="shared" si="44"/>
        <v>0.63900000000000046</v>
      </c>
      <c r="R703" s="276">
        <f t="shared" si="46"/>
        <v>0.75</v>
      </c>
      <c r="S703" s="533"/>
      <c r="T703"/>
      <c r="U703"/>
      <c r="V703"/>
      <c r="W703"/>
    </row>
    <row r="704" spans="15:23">
      <c r="O704" s="340"/>
      <c r="Q704" s="275">
        <f t="shared" si="44"/>
        <v>0.64000000000000046</v>
      </c>
      <c r="R704" s="276">
        <f t="shared" si="46"/>
        <v>0.75</v>
      </c>
      <c r="S704" s="533"/>
      <c r="T704"/>
      <c r="U704"/>
      <c r="V704"/>
      <c r="W704"/>
    </row>
    <row r="705" spans="15:23">
      <c r="O705" s="340"/>
      <c r="Q705" s="275">
        <f t="shared" ref="Q705:Q768" si="47">Q704+0.001</f>
        <v>0.64100000000000046</v>
      </c>
      <c r="R705" s="276">
        <f t="shared" si="46"/>
        <v>0.75</v>
      </c>
      <c r="S705" s="533"/>
      <c r="T705"/>
      <c r="U705"/>
      <c r="V705"/>
      <c r="W705"/>
    </row>
    <row r="706" spans="15:23">
      <c r="O706" s="340"/>
      <c r="Q706" s="275">
        <f t="shared" si="47"/>
        <v>0.64200000000000046</v>
      </c>
      <c r="R706" s="276">
        <f t="shared" si="46"/>
        <v>0.75</v>
      </c>
      <c r="S706" s="533"/>
      <c r="T706"/>
      <c r="U706"/>
      <c r="V706"/>
      <c r="W706"/>
    </row>
    <row r="707" spans="15:23">
      <c r="O707" s="340"/>
      <c r="Q707" s="275">
        <f t="shared" si="47"/>
        <v>0.64300000000000046</v>
      </c>
      <c r="R707" s="276">
        <f t="shared" si="46"/>
        <v>0.75</v>
      </c>
      <c r="S707" s="533"/>
      <c r="T707"/>
      <c r="U707"/>
      <c r="V707"/>
      <c r="W707"/>
    </row>
    <row r="708" spans="15:23">
      <c r="O708" s="340"/>
      <c r="Q708" s="275">
        <f t="shared" si="47"/>
        <v>0.64400000000000046</v>
      </c>
      <c r="R708" s="276">
        <f t="shared" si="46"/>
        <v>0.75</v>
      </c>
      <c r="S708" s="533"/>
      <c r="T708"/>
      <c r="U708"/>
      <c r="V708"/>
      <c r="W708"/>
    </row>
    <row r="709" spans="15:23">
      <c r="O709" s="340"/>
      <c r="Q709" s="275">
        <f t="shared" si="47"/>
        <v>0.64500000000000046</v>
      </c>
      <c r="R709" s="276">
        <f t="shared" si="46"/>
        <v>0.75</v>
      </c>
      <c r="S709" s="533"/>
      <c r="T709"/>
      <c r="U709"/>
      <c r="V709"/>
      <c r="W709"/>
    </row>
    <row r="710" spans="15:23">
      <c r="O710" s="340"/>
      <c r="Q710" s="275">
        <f t="shared" si="47"/>
        <v>0.64600000000000046</v>
      </c>
      <c r="R710" s="276">
        <f t="shared" si="46"/>
        <v>0.75</v>
      </c>
      <c r="S710" s="533"/>
      <c r="T710"/>
      <c r="U710"/>
      <c r="V710"/>
      <c r="W710"/>
    </row>
    <row r="711" spans="15:23">
      <c r="O711" s="340"/>
      <c r="Q711" s="275">
        <f t="shared" si="47"/>
        <v>0.64700000000000046</v>
      </c>
      <c r="R711" s="276">
        <f t="shared" si="46"/>
        <v>0.75</v>
      </c>
      <c r="S711" s="533"/>
      <c r="T711"/>
      <c r="U711"/>
      <c r="V711"/>
      <c r="W711"/>
    </row>
    <row r="712" spans="15:23">
      <c r="O712" s="340"/>
      <c r="Q712" s="275">
        <f t="shared" si="47"/>
        <v>0.64800000000000046</v>
      </c>
      <c r="R712" s="276">
        <f t="shared" si="46"/>
        <v>0.75</v>
      </c>
      <c r="S712" s="533"/>
      <c r="T712"/>
      <c r="U712"/>
      <c r="V712"/>
      <c r="W712"/>
    </row>
    <row r="713" spans="15:23">
      <c r="O713" s="340"/>
      <c r="Q713" s="275">
        <f t="shared" si="47"/>
        <v>0.64900000000000047</v>
      </c>
      <c r="R713" s="276">
        <f t="shared" si="46"/>
        <v>0.75</v>
      </c>
      <c r="S713" s="533"/>
      <c r="T713"/>
      <c r="U713"/>
      <c r="V713"/>
      <c r="W713"/>
    </row>
    <row r="714" spans="15:23">
      <c r="O714" s="340"/>
      <c r="Q714" s="275">
        <f t="shared" si="47"/>
        <v>0.65000000000000047</v>
      </c>
      <c r="R714" s="276">
        <f t="shared" si="46"/>
        <v>0.75</v>
      </c>
      <c r="S714" s="533"/>
      <c r="T714"/>
      <c r="U714"/>
      <c r="V714"/>
      <c r="W714"/>
    </row>
    <row r="715" spans="15:23">
      <c r="O715" s="340"/>
      <c r="Q715" s="275">
        <f t="shared" si="47"/>
        <v>0.65100000000000047</v>
      </c>
      <c r="R715" s="276">
        <f t="shared" si="46"/>
        <v>0.75</v>
      </c>
      <c r="S715" s="533"/>
      <c r="T715"/>
      <c r="U715"/>
      <c r="V715"/>
      <c r="W715"/>
    </row>
    <row r="716" spans="15:23">
      <c r="O716" s="340"/>
      <c r="Q716" s="275">
        <f t="shared" si="47"/>
        <v>0.65200000000000047</v>
      </c>
      <c r="R716" s="276">
        <f t="shared" si="46"/>
        <v>0.75</v>
      </c>
      <c r="S716" s="533"/>
      <c r="T716"/>
      <c r="U716"/>
      <c r="V716"/>
      <c r="W716"/>
    </row>
    <row r="717" spans="15:23">
      <c r="O717" s="340"/>
      <c r="Q717" s="275">
        <f t="shared" si="47"/>
        <v>0.65300000000000047</v>
      </c>
      <c r="R717" s="276">
        <f t="shared" si="46"/>
        <v>0.75</v>
      </c>
      <c r="S717" s="533"/>
      <c r="T717"/>
      <c r="U717"/>
      <c r="V717"/>
      <c r="W717"/>
    </row>
    <row r="718" spans="15:23">
      <c r="O718" s="340"/>
      <c r="Q718" s="275">
        <f t="shared" si="47"/>
        <v>0.65400000000000047</v>
      </c>
      <c r="R718" s="276">
        <f t="shared" si="46"/>
        <v>0.75</v>
      </c>
      <c r="S718" s="533"/>
      <c r="T718"/>
      <c r="U718"/>
      <c r="V718"/>
      <c r="W718"/>
    </row>
    <row r="719" spans="15:23">
      <c r="O719" s="340"/>
      <c r="Q719" s="275">
        <f t="shared" si="47"/>
        <v>0.65500000000000047</v>
      </c>
      <c r="R719" s="276">
        <f t="shared" si="46"/>
        <v>0.75</v>
      </c>
      <c r="S719" s="533"/>
      <c r="T719"/>
      <c r="U719"/>
      <c r="V719"/>
      <c r="W719"/>
    </row>
    <row r="720" spans="15:23">
      <c r="O720" s="340"/>
      <c r="Q720" s="275">
        <f t="shared" si="47"/>
        <v>0.65600000000000047</v>
      </c>
      <c r="R720" s="276">
        <f t="shared" si="46"/>
        <v>0.75</v>
      </c>
      <c r="S720" s="533"/>
      <c r="T720"/>
      <c r="U720"/>
      <c r="V720"/>
      <c r="W720"/>
    </row>
    <row r="721" spans="15:23">
      <c r="O721" s="340"/>
      <c r="Q721" s="275">
        <f t="shared" si="47"/>
        <v>0.65700000000000047</v>
      </c>
      <c r="R721" s="276">
        <f t="shared" si="46"/>
        <v>0.75</v>
      </c>
      <c r="S721" s="533"/>
      <c r="T721"/>
      <c r="U721"/>
      <c r="V721"/>
      <c r="W721"/>
    </row>
    <row r="722" spans="15:23">
      <c r="O722" s="340"/>
      <c r="Q722" s="275">
        <f t="shared" si="47"/>
        <v>0.65800000000000047</v>
      </c>
      <c r="R722" s="276">
        <f t="shared" si="46"/>
        <v>0.75</v>
      </c>
      <c r="S722" s="533"/>
      <c r="T722"/>
      <c r="U722"/>
      <c r="V722"/>
      <c r="W722"/>
    </row>
    <row r="723" spans="15:23">
      <c r="O723" s="340"/>
      <c r="Q723" s="275">
        <f t="shared" si="47"/>
        <v>0.65900000000000047</v>
      </c>
      <c r="R723" s="276">
        <f t="shared" si="46"/>
        <v>0.75</v>
      </c>
      <c r="S723" s="533"/>
      <c r="T723"/>
      <c r="U723"/>
      <c r="V723"/>
      <c r="W723"/>
    </row>
    <row r="724" spans="15:23">
      <c r="O724" s="340"/>
      <c r="Q724" s="275">
        <f t="shared" si="47"/>
        <v>0.66000000000000048</v>
      </c>
      <c r="R724" s="276">
        <f t="shared" si="46"/>
        <v>0.75</v>
      </c>
      <c r="S724" s="533"/>
      <c r="T724"/>
      <c r="U724"/>
      <c r="V724"/>
      <c r="W724"/>
    </row>
    <row r="725" spans="15:23">
      <c r="O725" s="340"/>
      <c r="Q725" s="275">
        <f t="shared" si="47"/>
        <v>0.66100000000000048</v>
      </c>
      <c r="R725" s="276">
        <f t="shared" si="46"/>
        <v>0.75</v>
      </c>
      <c r="S725" s="533"/>
      <c r="T725"/>
      <c r="U725"/>
      <c r="V725"/>
      <c r="W725"/>
    </row>
    <row r="726" spans="15:23">
      <c r="O726" s="340"/>
      <c r="Q726" s="275">
        <f t="shared" si="47"/>
        <v>0.66200000000000048</v>
      </c>
      <c r="R726" s="276">
        <f t="shared" si="46"/>
        <v>0.75</v>
      </c>
      <c r="S726" s="533"/>
      <c r="T726"/>
      <c r="U726"/>
      <c r="V726"/>
      <c r="W726"/>
    </row>
    <row r="727" spans="15:23">
      <c r="O727" s="340"/>
      <c r="Q727" s="275">
        <f t="shared" si="47"/>
        <v>0.66300000000000048</v>
      </c>
      <c r="R727" s="276">
        <f t="shared" ref="R727:R758" si="48">3/4</f>
        <v>0.75</v>
      </c>
      <c r="S727" s="533"/>
      <c r="T727"/>
      <c r="U727"/>
      <c r="V727"/>
      <c r="W727"/>
    </row>
    <row r="728" spans="15:23">
      <c r="O728" s="340"/>
      <c r="Q728" s="275">
        <f t="shared" si="47"/>
        <v>0.66400000000000048</v>
      </c>
      <c r="R728" s="276">
        <f t="shared" si="48"/>
        <v>0.75</v>
      </c>
      <c r="S728" s="533"/>
      <c r="T728"/>
      <c r="U728"/>
      <c r="V728"/>
      <c r="W728"/>
    </row>
    <row r="729" spans="15:23">
      <c r="O729" s="340"/>
      <c r="Q729" s="275">
        <f t="shared" si="47"/>
        <v>0.66500000000000048</v>
      </c>
      <c r="R729" s="276">
        <f t="shared" si="48"/>
        <v>0.75</v>
      </c>
      <c r="S729" s="533"/>
      <c r="T729"/>
      <c r="U729"/>
      <c r="V729"/>
      <c r="W729"/>
    </row>
    <row r="730" spans="15:23">
      <c r="O730" s="340"/>
      <c r="Q730" s="275">
        <f t="shared" si="47"/>
        <v>0.66600000000000048</v>
      </c>
      <c r="R730" s="276">
        <f t="shared" si="48"/>
        <v>0.75</v>
      </c>
      <c r="S730" s="533"/>
      <c r="T730"/>
      <c r="U730"/>
      <c r="V730"/>
      <c r="W730"/>
    </row>
    <row r="731" spans="15:23">
      <c r="O731" s="340"/>
      <c r="Q731" s="275">
        <f t="shared" si="47"/>
        <v>0.66700000000000048</v>
      </c>
      <c r="R731" s="276">
        <f t="shared" si="48"/>
        <v>0.75</v>
      </c>
      <c r="S731" s="533"/>
      <c r="T731"/>
      <c r="U731"/>
      <c r="V731"/>
      <c r="W731"/>
    </row>
    <row r="732" spans="15:23">
      <c r="O732" s="340"/>
      <c r="Q732" s="275">
        <f t="shared" si="47"/>
        <v>0.66800000000000048</v>
      </c>
      <c r="R732" s="276">
        <f t="shared" si="48"/>
        <v>0.75</v>
      </c>
      <c r="S732" s="533"/>
      <c r="T732"/>
      <c r="U732"/>
      <c r="V732"/>
      <c r="W732"/>
    </row>
    <row r="733" spans="15:23">
      <c r="O733" s="340"/>
      <c r="Q733" s="275">
        <f t="shared" si="47"/>
        <v>0.66900000000000048</v>
      </c>
      <c r="R733" s="276">
        <f t="shared" si="48"/>
        <v>0.75</v>
      </c>
      <c r="S733" s="533"/>
      <c r="T733"/>
      <c r="U733"/>
      <c r="V733"/>
      <c r="W733"/>
    </row>
    <row r="734" spans="15:23">
      <c r="O734" s="340"/>
      <c r="Q734" s="275">
        <f t="shared" si="47"/>
        <v>0.67000000000000048</v>
      </c>
      <c r="R734" s="276">
        <f t="shared" si="48"/>
        <v>0.75</v>
      </c>
      <c r="S734" s="533"/>
      <c r="T734"/>
      <c r="U734"/>
      <c r="V734"/>
      <c r="W734"/>
    </row>
    <row r="735" spans="15:23">
      <c r="O735" s="340"/>
      <c r="Q735" s="275">
        <f t="shared" si="47"/>
        <v>0.67100000000000048</v>
      </c>
      <c r="R735" s="276">
        <f t="shared" si="48"/>
        <v>0.75</v>
      </c>
      <c r="S735" s="533"/>
      <c r="T735"/>
      <c r="U735"/>
      <c r="V735"/>
      <c r="W735"/>
    </row>
    <row r="736" spans="15:23">
      <c r="O736" s="340"/>
      <c r="Q736" s="275">
        <f t="shared" si="47"/>
        <v>0.67200000000000049</v>
      </c>
      <c r="R736" s="276">
        <f t="shared" si="48"/>
        <v>0.75</v>
      </c>
      <c r="S736" s="533"/>
      <c r="T736"/>
      <c r="U736"/>
      <c r="V736"/>
      <c r="W736"/>
    </row>
    <row r="737" spans="15:23">
      <c r="O737" s="340"/>
      <c r="Q737" s="275">
        <f t="shared" si="47"/>
        <v>0.67300000000000049</v>
      </c>
      <c r="R737" s="276">
        <f t="shared" si="48"/>
        <v>0.75</v>
      </c>
      <c r="S737" s="533"/>
      <c r="T737"/>
      <c r="U737"/>
      <c r="V737"/>
      <c r="W737"/>
    </row>
    <row r="738" spans="15:23">
      <c r="O738" s="340"/>
      <c r="Q738" s="275">
        <f t="shared" si="47"/>
        <v>0.67400000000000049</v>
      </c>
      <c r="R738" s="276">
        <f t="shared" si="48"/>
        <v>0.75</v>
      </c>
      <c r="S738" s="533"/>
      <c r="T738"/>
      <c r="U738"/>
      <c r="V738"/>
      <c r="W738"/>
    </row>
    <row r="739" spans="15:23">
      <c r="O739" s="340"/>
      <c r="Q739" s="275">
        <f t="shared" si="47"/>
        <v>0.67500000000000049</v>
      </c>
      <c r="R739" s="276">
        <f t="shared" si="48"/>
        <v>0.75</v>
      </c>
      <c r="S739" s="533"/>
      <c r="T739"/>
      <c r="U739"/>
      <c r="V739"/>
      <c r="W739"/>
    </row>
    <row r="740" spans="15:23">
      <c r="O740" s="340"/>
      <c r="Q740" s="275">
        <f t="shared" si="47"/>
        <v>0.67600000000000049</v>
      </c>
      <c r="R740" s="276">
        <f t="shared" si="48"/>
        <v>0.75</v>
      </c>
      <c r="S740" s="533"/>
      <c r="T740"/>
      <c r="U740"/>
      <c r="V740"/>
      <c r="W740"/>
    </row>
    <row r="741" spans="15:23">
      <c r="O741" s="340"/>
      <c r="Q741" s="275">
        <f t="shared" si="47"/>
        <v>0.67700000000000049</v>
      </c>
      <c r="R741" s="276">
        <f t="shared" si="48"/>
        <v>0.75</v>
      </c>
      <c r="S741" s="533"/>
      <c r="T741"/>
      <c r="U741"/>
      <c r="V741"/>
      <c r="W741"/>
    </row>
    <row r="742" spans="15:23">
      <c r="O742" s="340"/>
      <c r="Q742" s="275">
        <f t="shared" si="47"/>
        <v>0.67800000000000049</v>
      </c>
      <c r="R742" s="276">
        <f t="shared" si="48"/>
        <v>0.75</v>
      </c>
      <c r="S742" s="533"/>
      <c r="T742"/>
      <c r="U742"/>
      <c r="V742"/>
      <c r="W742"/>
    </row>
    <row r="743" spans="15:23">
      <c r="O743" s="340"/>
      <c r="Q743" s="275">
        <f t="shared" si="47"/>
        <v>0.67900000000000049</v>
      </c>
      <c r="R743" s="276">
        <f t="shared" si="48"/>
        <v>0.75</v>
      </c>
      <c r="S743" s="533"/>
      <c r="T743"/>
      <c r="U743"/>
      <c r="V743"/>
      <c r="W743"/>
    </row>
    <row r="744" spans="15:23">
      <c r="O744" s="340"/>
      <c r="Q744" s="275">
        <f t="shared" si="47"/>
        <v>0.68000000000000049</v>
      </c>
      <c r="R744" s="276">
        <f t="shared" si="48"/>
        <v>0.75</v>
      </c>
      <c r="S744" s="533"/>
      <c r="T744"/>
      <c r="U744"/>
      <c r="V744"/>
      <c r="W744"/>
    </row>
    <row r="745" spans="15:23">
      <c r="O745" s="340"/>
      <c r="Q745" s="275">
        <f t="shared" si="47"/>
        <v>0.68100000000000049</v>
      </c>
      <c r="R745" s="276">
        <f t="shared" si="48"/>
        <v>0.75</v>
      </c>
      <c r="S745" s="533"/>
      <c r="T745"/>
      <c r="U745"/>
      <c r="V745"/>
      <c r="W745"/>
    </row>
    <row r="746" spans="15:23">
      <c r="O746" s="340"/>
      <c r="Q746" s="275">
        <f t="shared" si="47"/>
        <v>0.68200000000000049</v>
      </c>
      <c r="R746" s="276">
        <f t="shared" si="48"/>
        <v>0.75</v>
      </c>
      <c r="S746" s="533"/>
      <c r="T746"/>
      <c r="U746"/>
      <c r="V746"/>
      <c r="W746"/>
    </row>
    <row r="747" spans="15:23">
      <c r="O747" s="340"/>
      <c r="Q747" s="275">
        <f t="shared" si="47"/>
        <v>0.6830000000000005</v>
      </c>
      <c r="R747" s="276">
        <f t="shared" si="48"/>
        <v>0.75</v>
      </c>
      <c r="S747" s="533"/>
      <c r="T747"/>
      <c r="U747"/>
      <c r="V747"/>
      <c r="W747"/>
    </row>
    <row r="748" spans="15:23">
      <c r="O748" s="340"/>
      <c r="Q748" s="275">
        <f t="shared" si="47"/>
        <v>0.6840000000000005</v>
      </c>
      <c r="R748" s="276">
        <f t="shared" si="48"/>
        <v>0.75</v>
      </c>
      <c r="S748" s="533"/>
      <c r="T748"/>
      <c r="U748"/>
      <c r="V748"/>
      <c r="W748"/>
    </row>
    <row r="749" spans="15:23">
      <c r="O749" s="340"/>
      <c r="Q749" s="275">
        <f t="shared" si="47"/>
        <v>0.6850000000000005</v>
      </c>
      <c r="R749" s="276">
        <f t="shared" si="48"/>
        <v>0.75</v>
      </c>
      <c r="S749" s="533"/>
      <c r="T749"/>
      <c r="U749"/>
      <c r="V749"/>
      <c r="W749"/>
    </row>
    <row r="750" spans="15:23">
      <c r="O750" s="340"/>
      <c r="Q750" s="275">
        <f t="shared" si="47"/>
        <v>0.6860000000000005</v>
      </c>
      <c r="R750" s="276">
        <f t="shared" si="48"/>
        <v>0.75</v>
      </c>
      <c r="S750" s="533"/>
      <c r="T750"/>
      <c r="U750"/>
      <c r="V750"/>
      <c r="W750"/>
    </row>
    <row r="751" spans="15:23">
      <c r="O751" s="340"/>
      <c r="Q751" s="275">
        <f t="shared" si="47"/>
        <v>0.6870000000000005</v>
      </c>
      <c r="R751" s="276">
        <f t="shared" si="48"/>
        <v>0.75</v>
      </c>
      <c r="S751" s="533"/>
      <c r="T751"/>
      <c r="U751"/>
      <c r="V751"/>
      <c r="W751"/>
    </row>
    <row r="752" spans="15:23">
      <c r="O752" s="340"/>
      <c r="Q752" s="275">
        <f t="shared" si="47"/>
        <v>0.6880000000000005</v>
      </c>
      <c r="R752" s="276">
        <f t="shared" si="48"/>
        <v>0.75</v>
      </c>
      <c r="S752" s="533"/>
      <c r="T752"/>
      <c r="U752"/>
      <c r="V752"/>
      <c r="W752"/>
    </row>
    <row r="753" spans="15:23">
      <c r="O753" s="340"/>
      <c r="Q753" s="275">
        <f t="shared" si="47"/>
        <v>0.6890000000000005</v>
      </c>
      <c r="R753" s="276">
        <f t="shared" si="48"/>
        <v>0.75</v>
      </c>
      <c r="S753" s="533"/>
      <c r="T753"/>
      <c r="U753"/>
      <c r="V753"/>
      <c r="W753"/>
    </row>
    <row r="754" spans="15:23">
      <c r="O754" s="340"/>
      <c r="Q754" s="275">
        <f t="shared" si="47"/>
        <v>0.6900000000000005</v>
      </c>
      <c r="R754" s="276">
        <f t="shared" si="48"/>
        <v>0.75</v>
      </c>
      <c r="S754" s="533"/>
      <c r="T754"/>
      <c r="U754"/>
      <c r="V754"/>
      <c r="W754"/>
    </row>
    <row r="755" spans="15:23">
      <c r="O755" s="340"/>
      <c r="Q755" s="275">
        <f t="shared" si="47"/>
        <v>0.6910000000000005</v>
      </c>
      <c r="R755" s="276">
        <f t="shared" si="48"/>
        <v>0.75</v>
      </c>
      <c r="S755" s="533"/>
      <c r="T755"/>
      <c r="U755"/>
      <c r="V755"/>
      <c r="W755"/>
    </row>
    <row r="756" spans="15:23">
      <c r="O756" s="340"/>
      <c r="Q756" s="275">
        <f t="shared" si="47"/>
        <v>0.6920000000000005</v>
      </c>
      <c r="R756" s="276">
        <f t="shared" si="48"/>
        <v>0.75</v>
      </c>
      <c r="S756" s="533"/>
      <c r="T756"/>
      <c r="U756"/>
      <c r="V756"/>
      <c r="W756"/>
    </row>
    <row r="757" spans="15:23">
      <c r="O757" s="340"/>
      <c r="Q757" s="275">
        <f t="shared" si="47"/>
        <v>0.6930000000000005</v>
      </c>
      <c r="R757" s="276">
        <f t="shared" si="48"/>
        <v>0.75</v>
      </c>
      <c r="S757" s="533"/>
      <c r="T757"/>
      <c r="U757"/>
      <c r="V757"/>
      <c r="W757"/>
    </row>
    <row r="758" spans="15:23">
      <c r="O758" s="340"/>
      <c r="Q758" s="275">
        <f t="shared" si="47"/>
        <v>0.69400000000000051</v>
      </c>
      <c r="R758" s="276">
        <f t="shared" si="48"/>
        <v>0.75</v>
      </c>
      <c r="S758" s="533"/>
      <c r="T758"/>
      <c r="U758"/>
      <c r="V758"/>
      <c r="W758"/>
    </row>
    <row r="759" spans="15:23">
      <c r="O759" s="340"/>
      <c r="Q759" s="275">
        <f t="shared" si="47"/>
        <v>0.69500000000000051</v>
      </c>
      <c r="R759" s="276">
        <f t="shared" ref="R759:R787" si="49">3/4</f>
        <v>0.75</v>
      </c>
      <c r="S759" s="533"/>
      <c r="T759"/>
      <c r="U759"/>
      <c r="V759"/>
      <c r="W759"/>
    </row>
    <row r="760" spans="15:23">
      <c r="O760" s="340"/>
      <c r="Q760" s="275">
        <f t="shared" si="47"/>
        <v>0.69600000000000051</v>
      </c>
      <c r="R760" s="276">
        <f t="shared" si="49"/>
        <v>0.75</v>
      </c>
      <c r="S760" s="533"/>
      <c r="T760"/>
      <c r="U760"/>
      <c r="V760"/>
      <c r="W760"/>
    </row>
    <row r="761" spans="15:23">
      <c r="O761" s="340"/>
      <c r="Q761" s="275">
        <f t="shared" si="47"/>
        <v>0.69700000000000051</v>
      </c>
      <c r="R761" s="276">
        <f t="shared" si="49"/>
        <v>0.75</v>
      </c>
      <c r="S761" s="533"/>
      <c r="T761"/>
      <c r="U761"/>
      <c r="V761"/>
      <c r="W761"/>
    </row>
    <row r="762" spans="15:23">
      <c r="O762" s="340"/>
      <c r="Q762" s="275">
        <f t="shared" si="47"/>
        <v>0.69800000000000051</v>
      </c>
      <c r="R762" s="276">
        <f t="shared" si="49"/>
        <v>0.75</v>
      </c>
      <c r="S762" s="533"/>
      <c r="T762"/>
      <c r="U762"/>
      <c r="V762"/>
      <c r="W762"/>
    </row>
    <row r="763" spans="15:23">
      <c r="O763" s="340"/>
      <c r="Q763" s="275">
        <f t="shared" si="47"/>
        <v>0.69900000000000051</v>
      </c>
      <c r="R763" s="276">
        <f t="shared" si="49"/>
        <v>0.75</v>
      </c>
      <c r="S763" s="533"/>
      <c r="T763"/>
      <c r="U763"/>
      <c r="V763"/>
      <c r="W763"/>
    </row>
    <row r="764" spans="15:23">
      <c r="O764" s="340"/>
      <c r="Q764" s="275">
        <f t="shared" si="47"/>
        <v>0.70000000000000051</v>
      </c>
      <c r="R764" s="276">
        <f t="shared" si="49"/>
        <v>0.75</v>
      </c>
      <c r="S764" s="533"/>
      <c r="T764"/>
      <c r="U764"/>
      <c r="V764"/>
      <c r="W764"/>
    </row>
    <row r="765" spans="15:23">
      <c r="O765" s="340"/>
      <c r="Q765" s="275">
        <f t="shared" si="47"/>
        <v>0.70100000000000051</v>
      </c>
      <c r="R765" s="276">
        <f t="shared" si="49"/>
        <v>0.75</v>
      </c>
      <c r="S765" s="533"/>
      <c r="T765"/>
      <c r="U765"/>
      <c r="V765"/>
      <c r="W765"/>
    </row>
    <row r="766" spans="15:23">
      <c r="O766" s="340"/>
      <c r="Q766" s="275">
        <f t="shared" si="47"/>
        <v>0.70200000000000051</v>
      </c>
      <c r="R766" s="276">
        <f t="shared" si="49"/>
        <v>0.75</v>
      </c>
      <c r="S766" s="533"/>
      <c r="T766"/>
      <c r="U766"/>
      <c r="V766"/>
      <c r="W766"/>
    </row>
    <row r="767" spans="15:23">
      <c r="O767" s="340"/>
      <c r="Q767" s="275">
        <f t="shared" si="47"/>
        <v>0.70300000000000051</v>
      </c>
      <c r="R767" s="276">
        <f t="shared" si="49"/>
        <v>0.75</v>
      </c>
      <c r="S767" s="533"/>
      <c r="T767"/>
      <c r="U767"/>
      <c r="V767"/>
      <c r="W767"/>
    </row>
    <row r="768" spans="15:23">
      <c r="O768" s="340"/>
      <c r="Q768" s="275">
        <f t="shared" si="47"/>
        <v>0.70400000000000051</v>
      </c>
      <c r="R768" s="276">
        <f t="shared" si="49"/>
        <v>0.75</v>
      </c>
      <c r="S768" s="533"/>
      <c r="T768"/>
      <c r="U768"/>
      <c r="V768"/>
      <c r="W768"/>
    </row>
    <row r="769" spans="15:23">
      <c r="O769" s="340"/>
      <c r="Q769" s="275">
        <f t="shared" ref="Q769:Q832" si="50">Q768+0.001</f>
        <v>0.70500000000000052</v>
      </c>
      <c r="R769" s="276">
        <f t="shared" si="49"/>
        <v>0.75</v>
      </c>
      <c r="S769" s="533"/>
      <c r="T769"/>
      <c r="U769"/>
      <c r="V769"/>
      <c r="W769"/>
    </row>
    <row r="770" spans="15:23">
      <c r="O770" s="340"/>
      <c r="Q770" s="275">
        <f t="shared" si="50"/>
        <v>0.70600000000000052</v>
      </c>
      <c r="R770" s="276">
        <f t="shared" si="49"/>
        <v>0.75</v>
      </c>
      <c r="S770" s="533"/>
      <c r="T770"/>
      <c r="U770"/>
      <c r="V770"/>
      <c r="W770"/>
    </row>
    <row r="771" spans="15:23">
      <c r="O771" s="340"/>
      <c r="Q771" s="275">
        <f t="shared" si="50"/>
        <v>0.70700000000000052</v>
      </c>
      <c r="R771" s="276">
        <f t="shared" si="49"/>
        <v>0.75</v>
      </c>
      <c r="S771" s="533"/>
      <c r="T771"/>
      <c r="U771"/>
      <c r="V771"/>
      <c r="W771"/>
    </row>
    <row r="772" spans="15:23">
      <c r="O772" s="340"/>
      <c r="Q772" s="275">
        <f t="shared" si="50"/>
        <v>0.70800000000000052</v>
      </c>
      <c r="R772" s="276">
        <f t="shared" si="49"/>
        <v>0.75</v>
      </c>
      <c r="S772" s="533"/>
      <c r="T772"/>
      <c r="U772"/>
      <c r="V772"/>
      <c r="W772"/>
    </row>
    <row r="773" spans="15:23">
      <c r="O773" s="340"/>
      <c r="Q773" s="275">
        <f t="shared" si="50"/>
        <v>0.70900000000000052</v>
      </c>
      <c r="R773" s="276">
        <f t="shared" si="49"/>
        <v>0.75</v>
      </c>
      <c r="S773" s="533"/>
      <c r="T773"/>
      <c r="U773"/>
      <c r="V773"/>
      <c r="W773"/>
    </row>
    <row r="774" spans="15:23">
      <c r="O774" s="340"/>
      <c r="Q774" s="275">
        <f t="shared" si="50"/>
        <v>0.71000000000000052</v>
      </c>
      <c r="R774" s="276">
        <f t="shared" si="49"/>
        <v>0.75</v>
      </c>
      <c r="S774" s="533"/>
      <c r="T774"/>
      <c r="U774"/>
      <c r="V774"/>
      <c r="W774"/>
    </row>
    <row r="775" spans="15:23">
      <c r="O775" s="340"/>
      <c r="Q775" s="275">
        <f t="shared" si="50"/>
        <v>0.71100000000000052</v>
      </c>
      <c r="R775" s="276">
        <f t="shared" si="49"/>
        <v>0.75</v>
      </c>
      <c r="S775" s="533"/>
      <c r="T775"/>
      <c r="U775"/>
      <c r="V775"/>
      <c r="W775"/>
    </row>
    <row r="776" spans="15:23">
      <c r="O776" s="340"/>
      <c r="Q776" s="275">
        <f t="shared" si="50"/>
        <v>0.71200000000000052</v>
      </c>
      <c r="R776" s="276">
        <f t="shared" si="49"/>
        <v>0.75</v>
      </c>
      <c r="S776" s="533"/>
      <c r="T776"/>
      <c r="U776"/>
      <c r="V776"/>
      <c r="W776"/>
    </row>
    <row r="777" spans="15:23">
      <c r="O777" s="340"/>
      <c r="Q777" s="275">
        <f t="shared" si="50"/>
        <v>0.71300000000000052</v>
      </c>
      <c r="R777" s="276">
        <f t="shared" si="49"/>
        <v>0.75</v>
      </c>
      <c r="S777" s="533"/>
      <c r="T777"/>
      <c r="U777"/>
      <c r="V777"/>
      <c r="W777"/>
    </row>
    <row r="778" spans="15:23">
      <c r="O778" s="340"/>
      <c r="Q778" s="275">
        <f t="shared" si="50"/>
        <v>0.71400000000000052</v>
      </c>
      <c r="R778" s="276">
        <f t="shared" si="49"/>
        <v>0.75</v>
      </c>
      <c r="S778" s="533"/>
      <c r="T778"/>
      <c r="U778"/>
      <c r="V778"/>
      <c r="W778"/>
    </row>
    <row r="779" spans="15:23">
      <c r="O779" s="340"/>
      <c r="Q779" s="275">
        <f t="shared" si="50"/>
        <v>0.71500000000000052</v>
      </c>
      <c r="R779" s="276">
        <f t="shared" si="49"/>
        <v>0.75</v>
      </c>
      <c r="S779" s="533"/>
      <c r="T779"/>
      <c r="U779"/>
      <c r="V779"/>
      <c r="W779"/>
    </row>
    <row r="780" spans="15:23">
      <c r="O780" s="340"/>
      <c r="Q780" s="275">
        <f t="shared" si="50"/>
        <v>0.71600000000000052</v>
      </c>
      <c r="R780" s="276">
        <f t="shared" si="49"/>
        <v>0.75</v>
      </c>
      <c r="S780" s="533"/>
      <c r="T780"/>
      <c r="U780"/>
      <c r="V780"/>
      <c r="W780"/>
    </row>
    <row r="781" spans="15:23">
      <c r="O781" s="340"/>
      <c r="Q781" s="275">
        <f t="shared" si="50"/>
        <v>0.71700000000000053</v>
      </c>
      <c r="R781" s="276">
        <f t="shared" si="49"/>
        <v>0.75</v>
      </c>
      <c r="S781" s="533"/>
      <c r="T781"/>
      <c r="U781"/>
      <c r="V781"/>
      <c r="W781"/>
    </row>
    <row r="782" spans="15:23">
      <c r="O782" s="340"/>
      <c r="Q782" s="275">
        <f t="shared" si="50"/>
        <v>0.71800000000000053</v>
      </c>
      <c r="R782" s="276">
        <f t="shared" si="49"/>
        <v>0.75</v>
      </c>
      <c r="S782" s="533"/>
      <c r="T782"/>
      <c r="U782"/>
      <c r="V782"/>
      <c r="W782"/>
    </row>
    <row r="783" spans="15:23">
      <c r="O783" s="340"/>
      <c r="Q783" s="275">
        <f t="shared" si="50"/>
        <v>0.71900000000000053</v>
      </c>
      <c r="R783" s="276">
        <f t="shared" si="49"/>
        <v>0.75</v>
      </c>
      <c r="S783" s="533"/>
      <c r="T783"/>
      <c r="U783"/>
      <c r="V783"/>
      <c r="W783"/>
    </row>
    <row r="784" spans="15:23">
      <c r="O784" s="340"/>
      <c r="Q784" s="275">
        <f t="shared" si="50"/>
        <v>0.72000000000000053</v>
      </c>
      <c r="R784" s="276">
        <f t="shared" si="49"/>
        <v>0.75</v>
      </c>
      <c r="S784" s="533"/>
      <c r="T784"/>
      <c r="U784"/>
      <c r="V784"/>
      <c r="W784"/>
    </row>
    <row r="785" spans="15:23">
      <c r="O785" s="340"/>
      <c r="Q785" s="275">
        <f t="shared" si="50"/>
        <v>0.72100000000000053</v>
      </c>
      <c r="R785" s="276">
        <f t="shared" si="49"/>
        <v>0.75</v>
      </c>
      <c r="S785" s="533"/>
      <c r="T785"/>
      <c r="U785"/>
      <c r="V785"/>
      <c r="W785"/>
    </row>
    <row r="786" spans="15:23">
      <c r="O786" s="340"/>
      <c r="Q786" s="275">
        <f t="shared" si="50"/>
        <v>0.72200000000000053</v>
      </c>
      <c r="R786" s="276">
        <f t="shared" si="49"/>
        <v>0.75</v>
      </c>
      <c r="S786" s="533"/>
      <c r="T786"/>
      <c r="U786"/>
      <c r="V786"/>
      <c r="W786"/>
    </row>
    <row r="787" spans="15:23">
      <c r="O787" s="340"/>
      <c r="Q787" s="275">
        <f t="shared" si="50"/>
        <v>0.72300000000000053</v>
      </c>
      <c r="R787" s="276">
        <f t="shared" si="49"/>
        <v>0.75</v>
      </c>
      <c r="S787" s="533"/>
      <c r="T787"/>
      <c r="U787"/>
      <c r="V787"/>
      <c r="W787"/>
    </row>
    <row r="788" spans="15:23">
      <c r="O788" s="340"/>
      <c r="Q788" s="275">
        <f t="shared" si="50"/>
        <v>0.72400000000000053</v>
      </c>
      <c r="R788" s="276">
        <f t="shared" ref="R788:R819" si="51">7/8</f>
        <v>0.875</v>
      </c>
      <c r="S788" s="533"/>
      <c r="T788"/>
      <c r="U788"/>
      <c r="V788"/>
      <c r="W788"/>
    </row>
    <row r="789" spans="15:23">
      <c r="O789" s="340"/>
      <c r="Q789" s="275">
        <f t="shared" si="50"/>
        <v>0.72500000000000053</v>
      </c>
      <c r="R789" s="276">
        <f t="shared" si="51"/>
        <v>0.875</v>
      </c>
      <c r="S789" s="533"/>
      <c r="T789"/>
      <c r="U789"/>
      <c r="V789"/>
      <c r="W789"/>
    </row>
    <row r="790" spans="15:23">
      <c r="O790" s="340"/>
      <c r="Q790" s="275">
        <f t="shared" si="50"/>
        <v>0.72600000000000053</v>
      </c>
      <c r="R790" s="276">
        <f t="shared" si="51"/>
        <v>0.875</v>
      </c>
      <c r="S790" s="533"/>
      <c r="T790"/>
      <c r="U790"/>
      <c r="V790"/>
      <c r="W790"/>
    </row>
    <row r="791" spans="15:23">
      <c r="O791" s="340"/>
      <c r="Q791" s="275">
        <f t="shared" si="50"/>
        <v>0.72700000000000053</v>
      </c>
      <c r="R791" s="276">
        <f t="shared" si="51"/>
        <v>0.875</v>
      </c>
      <c r="S791" s="533"/>
      <c r="T791"/>
      <c r="U791"/>
      <c r="V791"/>
      <c r="W791"/>
    </row>
    <row r="792" spans="15:23">
      <c r="O792" s="340"/>
      <c r="Q792" s="275">
        <f t="shared" si="50"/>
        <v>0.72800000000000054</v>
      </c>
      <c r="R792" s="276">
        <f t="shared" si="51"/>
        <v>0.875</v>
      </c>
      <c r="S792" s="533"/>
      <c r="T792"/>
      <c r="U792"/>
      <c r="V792"/>
      <c r="W792"/>
    </row>
    <row r="793" spans="15:23">
      <c r="O793" s="340"/>
      <c r="Q793" s="275">
        <f t="shared" si="50"/>
        <v>0.72900000000000054</v>
      </c>
      <c r="R793" s="276">
        <f t="shared" si="51"/>
        <v>0.875</v>
      </c>
      <c r="S793" s="533"/>
      <c r="T793"/>
      <c r="U793"/>
      <c r="V793"/>
      <c r="W793"/>
    </row>
    <row r="794" spans="15:23">
      <c r="O794" s="340"/>
      <c r="Q794" s="275">
        <f t="shared" si="50"/>
        <v>0.73000000000000054</v>
      </c>
      <c r="R794" s="276">
        <f t="shared" si="51"/>
        <v>0.875</v>
      </c>
      <c r="S794" s="533"/>
      <c r="T794"/>
      <c r="U794"/>
      <c r="V794"/>
      <c r="W794"/>
    </row>
    <row r="795" spans="15:23">
      <c r="O795" s="340"/>
      <c r="Q795" s="275">
        <f t="shared" si="50"/>
        <v>0.73100000000000054</v>
      </c>
      <c r="R795" s="276">
        <f t="shared" si="51"/>
        <v>0.875</v>
      </c>
      <c r="S795" s="533"/>
      <c r="T795"/>
      <c r="U795"/>
      <c r="V795"/>
      <c r="W795"/>
    </row>
    <row r="796" spans="15:23">
      <c r="O796" s="340"/>
      <c r="Q796" s="275">
        <f t="shared" si="50"/>
        <v>0.73200000000000054</v>
      </c>
      <c r="R796" s="276">
        <f t="shared" si="51"/>
        <v>0.875</v>
      </c>
      <c r="S796" s="533"/>
      <c r="T796"/>
      <c r="U796"/>
      <c r="V796"/>
      <c r="W796"/>
    </row>
    <row r="797" spans="15:23">
      <c r="O797" s="340"/>
      <c r="Q797" s="275">
        <f t="shared" si="50"/>
        <v>0.73300000000000054</v>
      </c>
      <c r="R797" s="276">
        <f t="shared" si="51"/>
        <v>0.875</v>
      </c>
      <c r="S797" s="533"/>
      <c r="T797"/>
      <c r="U797"/>
      <c r="V797"/>
      <c r="W797"/>
    </row>
    <row r="798" spans="15:23">
      <c r="O798" s="340"/>
      <c r="Q798" s="275">
        <f t="shared" si="50"/>
        <v>0.73400000000000054</v>
      </c>
      <c r="R798" s="276">
        <f t="shared" si="51"/>
        <v>0.875</v>
      </c>
      <c r="S798" s="533"/>
      <c r="T798"/>
      <c r="U798"/>
      <c r="V798"/>
      <c r="W798"/>
    </row>
    <row r="799" spans="15:23">
      <c r="O799" s="340"/>
      <c r="Q799" s="275">
        <f t="shared" si="50"/>
        <v>0.73500000000000054</v>
      </c>
      <c r="R799" s="276">
        <f t="shared" si="51"/>
        <v>0.875</v>
      </c>
      <c r="S799" s="533"/>
      <c r="T799"/>
      <c r="U799"/>
      <c r="V799"/>
      <c r="W799"/>
    </row>
    <row r="800" spans="15:23">
      <c r="O800" s="340"/>
      <c r="Q800" s="275">
        <f t="shared" si="50"/>
        <v>0.73600000000000054</v>
      </c>
      <c r="R800" s="276">
        <f t="shared" si="51"/>
        <v>0.875</v>
      </c>
      <c r="S800" s="533"/>
      <c r="T800"/>
      <c r="U800"/>
      <c r="V800"/>
      <c r="W800"/>
    </row>
    <row r="801" spans="15:23">
      <c r="O801" s="340"/>
      <c r="Q801" s="275">
        <f t="shared" si="50"/>
        <v>0.73700000000000054</v>
      </c>
      <c r="R801" s="276">
        <f t="shared" si="51"/>
        <v>0.875</v>
      </c>
      <c r="S801" s="533"/>
      <c r="T801"/>
      <c r="U801"/>
      <c r="V801"/>
      <c r="W801"/>
    </row>
    <row r="802" spans="15:23">
      <c r="O802" s="340"/>
      <c r="Q802" s="275">
        <f t="shared" si="50"/>
        <v>0.73800000000000054</v>
      </c>
      <c r="R802" s="276">
        <f t="shared" si="51"/>
        <v>0.875</v>
      </c>
      <c r="S802" s="533"/>
      <c r="T802"/>
      <c r="U802"/>
      <c r="V802"/>
      <c r="W802"/>
    </row>
    <row r="803" spans="15:23">
      <c r="O803" s="340"/>
      <c r="Q803" s="275">
        <f t="shared" si="50"/>
        <v>0.73900000000000055</v>
      </c>
      <c r="R803" s="276">
        <f t="shared" si="51"/>
        <v>0.875</v>
      </c>
      <c r="S803" s="533"/>
      <c r="T803"/>
      <c r="U803"/>
      <c r="V803"/>
      <c r="W803"/>
    </row>
    <row r="804" spans="15:23">
      <c r="O804" s="340"/>
      <c r="Q804" s="275">
        <f t="shared" si="50"/>
        <v>0.74000000000000055</v>
      </c>
      <c r="R804" s="276">
        <f t="shared" si="51"/>
        <v>0.875</v>
      </c>
      <c r="S804" s="533"/>
      <c r="T804"/>
      <c r="U804"/>
      <c r="V804"/>
      <c r="W804"/>
    </row>
    <row r="805" spans="15:23">
      <c r="O805" s="340"/>
      <c r="Q805" s="275">
        <f t="shared" si="50"/>
        <v>0.74100000000000055</v>
      </c>
      <c r="R805" s="276">
        <f t="shared" si="51"/>
        <v>0.875</v>
      </c>
      <c r="S805" s="533"/>
      <c r="T805"/>
      <c r="U805"/>
      <c r="V805"/>
      <c r="W805"/>
    </row>
    <row r="806" spans="15:23">
      <c r="O806" s="340"/>
      <c r="Q806" s="275">
        <f t="shared" si="50"/>
        <v>0.74200000000000055</v>
      </c>
      <c r="R806" s="276">
        <f t="shared" si="51"/>
        <v>0.875</v>
      </c>
      <c r="S806" s="533"/>
      <c r="T806"/>
      <c r="U806"/>
      <c r="V806"/>
      <c r="W806"/>
    </row>
    <row r="807" spans="15:23">
      <c r="O807" s="340"/>
      <c r="Q807" s="275">
        <f t="shared" si="50"/>
        <v>0.74300000000000055</v>
      </c>
      <c r="R807" s="276">
        <f t="shared" si="51"/>
        <v>0.875</v>
      </c>
      <c r="S807" s="533"/>
      <c r="T807"/>
      <c r="U807"/>
      <c r="V807"/>
      <c r="W807"/>
    </row>
    <row r="808" spans="15:23">
      <c r="O808" s="340"/>
      <c r="Q808" s="275">
        <f t="shared" si="50"/>
        <v>0.74400000000000055</v>
      </c>
      <c r="R808" s="276">
        <f t="shared" si="51"/>
        <v>0.875</v>
      </c>
      <c r="S808" s="533"/>
      <c r="T808"/>
      <c r="U808"/>
      <c r="V808"/>
      <c r="W808"/>
    </row>
    <row r="809" spans="15:23">
      <c r="O809" s="340"/>
      <c r="Q809" s="275">
        <f t="shared" si="50"/>
        <v>0.74500000000000055</v>
      </c>
      <c r="R809" s="276">
        <f t="shared" si="51"/>
        <v>0.875</v>
      </c>
      <c r="S809" s="533"/>
      <c r="T809"/>
      <c r="U809"/>
      <c r="V809"/>
      <c r="W809"/>
    </row>
    <row r="810" spans="15:23">
      <c r="O810" s="340"/>
      <c r="Q810" s="275">
        <f t="shared" si="50"/>
        <v>0.74600000000000055</v>
      </c>
      <c r="R810" s="276">
        <f t="shared" si="51"/>
        <v>0.875</v>
      </c>
      <c r="S810" s="533"/>
      <c r="T810"/>
      <c r="U810"/>
      <c r="V810"/>
      <c r="W810"/>
    </row>
    <row r="811" spans="15:23">
      <c r="O811" s="340"/>
      <c r="Q811" s="275">
        <f t="shared" si="50"/>
        <v>0.74700000000000055</v>
      </c>
      <c r="R811" s="276">
        <f t="shared" si="51"/>
        <v>0.875</v>
      </c>
      <c r="S811" s="533"/>
      <c r="T811"/>
      <c r="U811"/>
      <c r="V811"/>
      <c r="W811"/>
    </row>
    <row r="812" spans="15:23">
      <c r="O812" s="340"/>
      <c r="Q812" s="275">
        <f t="shared" si="50"/>
        <v>0.74800000000000055</v>
      </c>
      <c r="R812" s="276">
        <f t="shared" si="51"/>
        <v>0.875</v>
      </c>
      <c r="S812" s="533"/>
      <c r="T812"/>
      <c r="U812"/>
      <c r="V812"/>
      <c r="W812"/>
    </row>
    <row r="813" spans="15:23">
      <c r="O813" s="340"/>
      <c r="Q813" s="275">
        <f t="shared" si="50"/>
        <v>0.74900000000000055</v>
      </c>
      <c r="R813" s="276">
        <f t="shared" si="51"/>
        <v>0.875</v>
      </c>
      <c r="S813" s="533"/>
      <c r="T813"/>
      <c r="U813"/>
      <c r="V813"/>
      <c r="W813"/>
    </row>
    <row r="814" spans="15:23">
      <c r="O814" s="340"/>
      <c r="Q814" s="275">
        <f t="shared" si="50"/>
        <v>0.75000000000000056</v>
      </c>
      <c r="R814" s="276">
        <f t="shared" si="51"/>
        <v>0.875</v>
      </c>
      <c r="S814" s="533"/>
      <c r="T814"/>
      <c r="U814"/>
      <c r="V814"/>
      <c r="W814"/>
    </row>
    <row r="815" spans="15:23">
      <c r="O815" s="340"/>
      <c r="Q815" s="275">
        <f t="shared" si="50"/>
        <v>0.75100000000000056</v>
      </c>
      <c r="R815" s="276">
        <f t="shared" si="51"/>
        <v>0.875</v>
      </c>
      <c r="S815" s="533"/>
      <c r="T815"/>
      <c r="U815"/>
      <c r="V815"/>
      <c r="W815"/>
    </row>
    <row r="816" spans="15:23">
      <c r="O816" s="340"/>
      <c r="Q816" s="275">
        <f t="shared" si="50"/>
        <v>0.75200000000000056</v>
      </c>
      <c r="R816" s="276">
        <f t="shared" si="51"/>
        <v>0.875</v>
      </c>
      <c r="S816" s="533"/>
      <c r="T816"/>
      <c r="U816"/>
      <c r="V816"/>
      <c r="W816"/>
    </row>
    <row r="817" spans="15:23">
      <c r="O817" s="340"/>
      <c r="Q817" s="275">
        <f t="shared" si="50"/>
        <v>0.75300000000000056</v>
      </c>
      <c r="R817" s="276">
        <f t="shared" si="51"/>
        <v>0.875</v>
      </c>
      <c r="S817" s="533"/>
      <c r="T817"/>
      <c r="U817"/>
      <c r="V817"/>
      <c r="W817"/>
    </row>
    <row r="818" spans="15:23">
      <c r="O818" s="340"/>
      <c r="Q818" s="275">
        <f t="shared" si="50"/>
        <v>0.75400000000000056</v>
      </c>
      <c r="R818" s="276">
        <f t="shared" si="51"/>
        <v>0.875</v>
      </c>
      <c r="S818" s="533"/>
      <c r="T818"/>
      <c r="U818"/>
      <c r="V818"/>
      <c r="W818"/>
    </row>
    <row r="819" spans="15:23">
      <c r="O819" s="340"/>
      <c r="Q819" s="275">
        <f t="shared" si="50"/>
        <v>0.75500000000000056</v>
      </c>
      <c r="R819" s="276">
        <f t="shared" si="51"/>
        <v>0.875</v>
      </c>
      <c r="S819" s="533"/>
      <c r="T819"/>
      <c r="U819"/>
      <c r="V819"/>
      <c r="W819"/>
    </row>
    <row r="820" spans="15:23">
      <c r="O820" s="340"/>
      <c r="Q820" s="275">
        <f t="shared" si="50"/>
        <v>0.75600000000000056</v>
      </c>
      <c r="R820" s="276">
        <f t="shared" ref="R820:R851" si="52">7/8</f>
        <v>0.875</v>
      </c>
      <c r="S820" s="533"/>
      <c r="T820"/>
      <c r="U820"/>
      <c r="V820"/>
      <c r="W820"/>
    </row>
    <row r="821" spans="15:23">
      <c r="O821" s="340"/>
      <c r="Q821" s="275">
        <f t="shared" si="50"/>
        <v>0.75700000000000056</v>
      </c>
      <c r="R821" s="276">
        <f t="shared" si="52"/>
        <v>0.875</v>
      </c>
      <c r="S821" s="533"/>
      <c r="T821"/>
      <c r="U821"/>
      <c r="V821"/>
      <c r="W821"/>
    </row>
    <row r="822" spans="15:23">
      <c r="O822" s="340"/>
      <c r="Q822" s="275">
        <f t="shared" si="50"/>
        <v>0.75800000000000056</v>
      </c>
      <c r="R822" s="276">
        <f t="shared" si="52"/>
        <v>0.875</v>
      </c>
      <c r="S822" s="533"/>
      <c r="T822"/>
      <c r="U822"/>
      <c r="V822"/>
      <c r="W822"/>
    </row>
    <row r="823" spans="15:23">
      <c r="O823" s="340"/>
      <c r="Q823" s="275">
        <f t="shared" si="50"/>
        <v>0.75900000000000056</v>
      </c>
      <c r="R823" s="276">
        <f t="shared" si="52"/>
        <v>0.875</v>
      </c>
      <c r="S823" s="533"/>
      <c r="T823"/>
      <c r="U823"/>
      <c r="V823"/>
      <c r="W823"/>
    </row>
    <row r="824" spans="15:23">
      <c r="O824" s="340"/>
      <c r="Q824" s="275">
        <f t="shared" si="50"/>
        <v>0.76000000000000056</v>
      </c>
      <c r="R824" s="276">
        <f t="shared" si="52"/>
        <v>0.875</v>
      </c>
      <c r="S824" s="533"/>
      <c r="T824"/>
      <c r="U824"/>
      <c r="V824"/>
      <c r="W824"/>
    </row>
    <row r="825" spans="15:23">
      <c r="O825" s="340"/>
      <c r="Q825" s="275">
        <f t="shared" si="50"/>
        <v>0.76100000000000056</v>
      </c>
      <c r="R825" s="276">
        <f t="shared" si="52"/>
        <v>0.875</v>
      </c>
      <c r="S825" s="533"/>
      <c r="T825"/>
      <c r="U825"/>
      <c r="V825"/>
      <c r="W825"/>
    </row>
    <row r="826" spans="15:23">
      <c r="O826" s="340"/>
      <c r="Q826" s="275">
        <f t="shared" si="50"/>
        <v>0.76200000000000057</v>
      </c>
      <c r="R826" s="276">
        <f t="shared" si="52"/>
        <v>0.875</v>
      </c>
      <c r="S826" s="533"/>
      <c r="T826"/>
      <c r="U826"/>
      <c r="V826"/>
      <c r="W826"/>
    </row>
    <row r="827" spans="15:23">
      <c r="O827" s="340"/>
      <c r="Q827" s="275">
        <f t="shared" si="50"/>
        <v>0.76300000000000057</v>
      </c>
      <c r="R827" s="276">
        <f t="shared" si="52"/>
        <v>0.875</v>
      </c>
      <c r="S827" s="533"/>
      <c r="T827"/>
      <c r="U827"/>
      <c r="V827"/>
      <c r="W827"/>
    </row>
    <row r="828" spans="15:23">
      <c r="O828" s="340"/>
      <c r="Q828" s="275">
        <f t="shared" si="50"/>
        <v>0.76400000000000057</v>
      </c>
      <c r="R828" s="276">
        <f t="shared" si="52"/>
        <v>0.875</v>
      </c>
      <c r="S828" s="533"/>
      <c r="T828"/>
      <c r="U828"/>
      <c r="V828"/>
      <c r="W828"/>
    </row>
    <row r="829" spans="15:23">
      <c r="O829" s="340"/>
      <c r="Q829" s="275">
        <f t="shared" si="50"/>
        <v>0.76500000000000057</v>
      </c>
      <c r="R829" s="276">
        <f t="shared" si="52"/>
        <v>0.875</v>
      </c>
      <c r="S829" s="533"/>
      <c r="T829"/>
      <c r="U829"/>
      <c r="V829"/>
      <c r="W829"/>
    </row>
    <row r="830" spans="15:23">
      <c r="O830" s="340"/>
      <c r="Q830" s="275">
        <f t="shared" si="50"/>
        <v>0.76600000000000057</v>
      </c>
      <c r="R830" s="276">
        <f t="shared" si="52"/>
        <v>0.875</v>
      </c>
      <c r="S830" s="533"/>
      <c r="T830"/>
      <c r="U830"/>
      <c r="V830"/>
      <c r="W830"/>
    </row>
    <row r="831" spans="15:23">
      <c r="O831" s="340"/>
      <c r="Q831" s="275">
        <f t="shared" si="50"/>
        <v>0.76700000000000057</v>
      </c>
      <c r="R831" s="276">
        <f t="shared" si="52"/>
        <v>0.875</v>
      </c>
      <c r="S831" s="533"/>
      <c r="T831"/>
      <c r="U831"/>
      <c r="V831"/>
      <c r="W831"/>
    </row>
    <row r="832" spans="15:23">
      <c r="O832" s="340"/>
      <c r="Q832" s="275">
        <f t="shared" si="50"/>
        <v>0.76800000000000057</v>
      </c>
      <c r="R832" s="276">
        <f t="shared" si="52"/>
        <v>0.875</v>
      </c>
      <c r="S832" s="533"/>
      <c r="T832"/>
      <c r="U832"/>
      <c r="V832"/>
      <c r="W832"/>
    </row>
    <row r="833" spans="15:23">
      <c r="O833" s="340"/>
      <c r="Q833" s="275">
        <f t="shared" ref="Q833:Q896" si="53">Q832+0.001</f>
        <v>0.76900000000000057</v>
      </c>
      <c r="R833" s="276">
        <f t="shared" si="52"/>
        <v>0.875</v>
      </c>
      <c r="S833" s="533"/>
      <c r="T833"/>
      <c r="U833"/>
      <c r="V833"/>
      <c r="W833"/>
    </row>
    <row r="834" spans="15:23">
      <c r="O834" s="340"/>
      <c r="Q834" s="275">
        <f t="shared" si="53"/>
        <v>0.77000000000000057</v>
      </c>
      <c r="R834" s="276">
        <f t="shared" si="52"/>
        <v>0.875</v>
      </c>
      <c r="S834" s="533"/>
      <c r="T834"/>
      <c r="U834"/>
      <c r="V834"/>
      <c r="W834"/>
    </row>
    <row r="835" spans="15:23">
      <c r="O835" s="340"/>
      <c r="Q835" s="275">
        <f t="shared" si="53"/>
        <v>0.77100000000000057</v>
      </c>
      <c r="R835" s="276">
        <f t="shared" si="52"/>
        <v>0.875</v>
      </c>
      <c r="S835" s="533"/>
      <c r="T835"/>
      <c r="U835"/>
      <c r="V835"/>
      <c r="W835"/>
    </row>
    <row r="836" spans="15:23">
      <c r="O836" s="340"/>
      <c r="Q836" s="275">
        <f t="shared" si="53"/>
        <v>0.77200000000000057</v>
      </c>
      <c r="R836" s="276">
        <f t="shared" si="52"/>
        <v>0.875</v>
      </c>
      <c r="S836" s="533"/>
      <c r="T836"/>
      <c r="U836"/>
      <c r="V836"/>
      <c r="W836"/>
    </row>
    <row r="837" spans="15:23">
      <c r="O837" s="340"/>
      <c r="Q837" s="275">
        <f t="shared" si="53"/>
        <v>0.77300000000000058</v>
      </c>
      <c r="R837" s="276">
        <f t="shared" si="52"/>
        <v>0.875</v>
      </c>
      <c r="S837" s="533"/>
      <c r="T837"/>
      <c r="U837"/>
      <c r="V837"/>
      <c r="W837"/>
    </row>
    <row r="838" spans="15:23">
      <c r="O838" s="340"/>
      <c r="Q838" s="275">
        <f t="shared" si="53"/>
        <v>0.77400000000000058</v>
      </c>
      <c r="R838" s="276">
        <f t="shared" si="52"/>
        <v>0.875</v>
      </c>
      <c r="S838" s="533"/>
      <c r="T838"/>
      <c r="U838"/>
      <c r="V838"/>
      <c r="W838"/>
    </row>
    <row r="839" spans="15:23">
      <c r="O839" s="340"/>
      <c r="Q839" s="275">
        <f t="shared" si="53"/>
        <v>0.77500000000000058</v>
      </c>
      <c r="R839" s="276">
        <f t="shared" si="52"/>
        <v>0.875</v>
      </c>
      <c r="S839" s="533"/>
      <c r="T839"/>
      <c r="U839"/>
      <c r="V839"/>
      <c r="W839"/>
    </row>
    <row r="840" spans="15:23">
      <c r="O840" s="340"/>
      <c r="Q840" s="275">
        <f t="shared" si="53"/>
        <v>0.77600000000000058</v>
      </c>
      <c r="R840" s="276">
        <f t="shared" si="52"/>
        <v>0.875</v>
      </c>
      <c r="S840" s="533"/>
      <c r="T840"/>
      <c r="U840"/>
      <c r="V840"/>
      <c r="W840"/>
    </row>
    <row r="841" spans="15:23">
      <c r="O841" s="340"/>
      <c r="Q841" s="275">
        <f t="shared" si="53"/>
        <v>0.77700000000000058</v>
      </c>
      <c r="R841" s="276">
        <f t="shared" si="52"/>
        <v>0.875</v>
      </c>
      <c r="S841" s="533"/>
      <c r="T841"/>
      <c r="U841"/>
      <c r="V841"/>
      <c r="W841"/>
    </row>
    <row r="842" spans="15:23">
      <c r="O842" s="340"/>
      <c r="Q842" s="275">
        <f t="shared" si="53"/>
        <v>0.77800000000000058</v>
      </c>
      <c r="R842" s="276">
        <f t="shared" si="52"/>
        <v>0.875</v>
      </c>
      <c r="S842" s="533"/>
      <c r="T842"/>
      <c r="U842"/>
      <c r="V842"/>
      <c r="W842"/>
    </row>
    <row r="843" spans="15:23">
      <c r="O843" s="340"/>
      <c r="Q843" s="275">
        <f t="shared" si="53"/>
        <v>0.77900000000000058</v>
      </c>
      <c r="R843" s="276">
        <f t="shared" si="52"/>
        <v>0.875</v>
      </c>
      <c r="S843" s="533"/>
      <c r="T843"/>
      <c r="U843"/>
      <c r="V843"/>
      <c r="W843"/>
    </row>
    <row r="844" spans="15:23">
      <c r="O844" s="340"/>
      <c r="Q844" s="275">
        <f t="shared" si="53"/>
        <v>0.78000000000000058</v>
      </c>
      <c r="R844" s="276">
        <f t="shared" si="52"/>
        <v>0.875</v>
      </c>
      <c r="S844" s="533"/>
      <c r="T844"/>
      <c r="U844"/>
      <c r="V844"/>
      <c r="W844"/>
    </row>
    <row r="845" spans="15:23">
      <c r="O845" s="340"/>
      <c r="Q845" s="275">
        <f t="shared" si="53"/>
        <v>0.78100000000000058</v>
      </c>
      <c r="R845" s="276">
        <f t="shared" si="52"/>
        <v>0.875</v>
      </c>
      <c r="S845" s="533"/>
      <c r="T845"/>
      <c r="U845"/>
      <c r="V845"/>
      <c r="W845"/>
    </row>
    <row r="846" spans="15:23">
      <c r="O846" s="340"/>
      <c r="Q846" s="275">
        <f t="shared" si="53"/>
        <v>0.78200000000000058</v>
      </c>
      <c r="R846" s="276">
        <f t="shared" si="52"/>
        <v>0.875</v>
      </c>
      <c r="S846" s="533"/>
      <c r="T846"/>
      <c r="U846"/>
      <c r="V846"/>
      <c r="W846"/>
    </row>
    <row r="847" spans="15:23">
      <c r="O847" s="340"/>
      <c r="Q847" s="275">
        <f t="shared" si="53"/>
        <v>0.78300000000000058</v>
      </c>
      <c r="R847" s="276">
        <f t="shared" si="52"/>
        <v>0.875</v>
      </c>
      <c r="S847" s="533"/>
      <c r="T847"/>
      <c r="U847"/>
      <c r="V847"/>
      <c r="W847"/>
    </row>
    <row r="848" spans="15:23">
      <c r="O848" s="340"/>
      <c r="Q848" s="275">
        <f t="shared" si="53"/>
        <v>0.78400000000000059</v>
      </c>
      <c r="R848" s="276">
        <f t="shared" si="52"/>
        <v>0.875</v>
      </c>
      <c r="S848" s="533"/>
      <c r="T848"/>
      <c r="U848"/>
      <c r="V848"/>
      <c r="W848"/>
    </row>
    <row r="849" spans="15:23">
      <c r="O849" s="340"/>
      <c r="Q849" s="275">
        <f t="shared" si="53"/>
        <v>0.78500000000000059</v>
      </c>
      <c r="R849" s="276">
        <f t="shared" si="52"/>
        <v>0.875</v>
      </c>
      <c r="S849" s="533"/>
      <c r="T849"/>
      <c r="U849"/>
      <c r="V849"/>
      <c r="W849"/>
    </row>
    <row r="850" spans="15:23">
      <c r="O850" s="340"/>
      <c r="Q850" s="275">
        <f t="shared" si="53"/>
        <v>0.78600000000000059</v>
      </c>
      <c r="R850" s="276">
        <f t="shared" si="52"/>
        <v>0.875</v>
      </c>
      <c r="S850" s="533"/>
      <c r="T850"/>
      <c r="U850"/>
      <c r="V850"/>
      <c r="W850"/>
    </row>
    <row r="851" spans="15:23">
      <c r="O851" s="340"/>
      <c r="Q851" s="275">
        <f t="shared" si="53"/>
        <v>0.78700000000000059</v>
      </c>
      <c r="R851" s="276">
        <f t="shared" si="52"/>
        <v>0.875</v>
      </c>
      <c r="S851" s="533"/>
      <c r="T851"/>
      <c r="U851"/>
      <c r="V851"/>
      <c r="W851"/>
    </row>
    <row r="852" spans="15:23">
      <c r="O852" s="340"/>
      <c r="Q852" s="275">
        <f t="shared" si="53"/>
        <v>0.78800000000000059</v>
      </c>
      <c r="R852" s="276">
        <f t="shared" ref="R852:R883" si="54">7/8</f>
        <v>0.875</v>
      </c>
      <c r="S852" s="533"/>
      <c r="T852"/>
      <c r="U852"/>
      <c r="V852"/>
      <c r="W852"/>
    </row>
    <row r="853" spans="15:23">
      <c r="O853" s="340"/>
      <c r="Q853" s="275">
        <f t="shared" si="53"/>
        <v>0.78900000000000059</v>
      </c>
      <c r="R853" s="276">
        <f t="shared" si="54"/>
        <v>0.875</v>
      </c>
      <c r="S853" s="533"/>
      <c r="T853"/>
      <c r="U853"/>
      <c r="V853"/>
      <c r="W853"/>
    </row>
    <row r="854" spans="15:23">
      <c r="O854" s="340"/>
      <c r="Q854" s="275">
        <f t="shared" si="53"/>
        <v>0.79000000000000059</v>
      </c>
      <c r="R854" s="276">
        <f t="shared" si="54"/>
        <v>0.875</v>
      </c>
      <c r="S854" s="533"/>
      <c r="T854"/>
      <c r="U854"/>
      <c r="V854"/>
      <c r="W854"/>
    </row>
    <row r="855" spans="15:23">
      <c r="O855" s="340"/>
      <c r="Q855" s="275">
        <f t="shared" si="53"/>
        <v>0.79100000000000059</v>
      </c>
      <c r="R855" s="276">
        <f t="shared" si="54"/>
        <v>0.875</v>
      </c>
      <c r="S855" s="533"/>
      <c r="T855"/>
      <c r="U855"/>
      <c r="V855"/>
      <c r="W855"/>
    </row>
    <row r="856" spans="15:23">
      <c r="O856" s="340"/>
      <c r="Q856" s="275">
        <f t="shared" si="53"/>
        <v>0.79200000000000059</v>
      </c>
      <c r="R856" s="276">
        <f t="shared" si="54"/>
        <v>0.875</v>
      </c>
      <c r="S856" s="533"/>
      <c r="T856"/>
      <c r="U856"/>
      <c r="V856"/>
      <c r="W856"/>
    </row>
    <row r="857" spans="15:23">
      <c r="O857" s="340"/>
      <c r="Q857" s="275">
        <f t="shared" si="53"/>
        <v>0.79300000000000059</v>
      </c>
      <c r="R857" s="276">
        <f t="shared" si="54"/>
        <v>0.875</v>
      </c>
      <c r="S857" s="533"/>
      <c r="T857"/>
      <c r="U857"/>
      <c r="V857"/>
      <c r="W857"/>
    </row>
    <row r="858" spans="15:23">
      <c r="O858" s="340"/>
      <c r="Q858" s="275">
        <f t="shared" si="53"/>
        <v>0.79400000000000059</v>
      </c>
      <c r="R858" s="276">
        <f t="shared" si="54"/>
        <v>0.875</v>
      </c>
      <c r="S858" s="533"/>
      <c r="T858"/>
      <c r="U858"/>
      <c r="V858"/>
      <c r="W858"/>
    </row>
    <row r="859" spans="15:23">
      <c r="O859" s="340"/>
      <c r="Q859" s="275">
        <f t="shared" si="53"/>
        <v>0.7950000000000006</v>
      </c>
      <c r="R859" s="276">
        <f t="shared" si="54"/>
        <v>0.875</v>
      </c>
      <c r="S859" s="533"/>
      <c r="T859"/>
      <c r="U859"/>
      <c r="V859"/>
      <c r="W859"/>
    </row>
    <row r="860" spans="15:23">
      <c r="O860" s="340"/>
      <c r="Q860" s="275">
        <f t="shared" si="53"/>
        <v>0.7960000000000006</v>
      </c>
      <c r="R860" s="276">
        <f t="shared" si="54"/>
        <v>0.875</v>
      </c>
      <c r="S860" s="533"/>
      <c r="T860"/>
      <c r="U860"/>
      <c r="V860"/>
      <c r="W860"/>
    </row>
    <row r="861" spans="15:23">
      <c r="O861" s="340"/>
      <c r="Q861" s="275">
        <f t="shared" si="53"/>
        <v>0.7970000000000006</v>
      </c>
      <c r="R861" s="276">
        <f t="shared" si="54"/>
        <v>0.875</v>
      </c>
      <c r="S861" s="533"/>
      <c r="T861"/>
      <c r="U861"/>
      <c r="V861"/>
      <c r="W861"/>
    </row>
    <row r="862" spans="15:23">
      <c r="O862" s="340"/>
      <c r="Q862" s="275">
        <f t="shared" si="53"/>
        <v>0.7980000000000006</v>
      </c>
      <c r="R862" s="276">
        <f t="shared" si="54"/>
        <v>0.875</v>
      </c>
      <c r="S862" s="533"/>
      <c r="T862"/>
      <c r="U862"/>
      <c r="V862"/>
      <c r="W862"/>
    </row>
    <row r="863" spans="15:23">
      <c r="O863" s="340"/>
      <c r="Q863" s="275">
        <f t="shared" si="53"/>
        <v>0.7990000000000006</v>
      </c>
      <c r="R863" s="276">
        <f t="shared" si="54"/>
        <v>0.875</v>
      </c>
      <c r="S863" s="533"/>
      <c r="T863"/>
      <c r="U863"/>
      <c r="V863"/>
      <c r="W863"/>
    </row>
    <row r="864" spans="15:23">
      <c r="O864" s="340"/>
      <c r="Q864" s="275">
        <f t="shared" si="53"/>
        <v>0.8000000000000006</v>
      </c>
      <c r="R864" s="276">
        <f t="shared" si="54"/>
        <v>0.875</v>
      </c>
      <c r="S864" s="533"/>
      <c r="T864"/>
      <c r="U864"/>
      <c r="V864"/>
      <c r="W864"/>
    </row>
    <row r="865" spans="15:23">
      <c r="O865" s="340"/>
      <c r="Q865" s="275">
        <f t="shared" si="53"/>
        <v>0.8010000000000006</v>
      </c>
      <c r="R865" s="276">
        <f t="shared" si="54"/>
        <v>0.875</v>
      </c>
      <c r="S865" s="533"/>
      <c r="T865"/>
      <c r="U865"/>
      <c r="V865"/>
      <c r="W865"/>
    </row>
    <row r="866" spans="15:23">
      <c r="O866" s="340"/>
      <c r="Q866" s="275">
        <f t="shared" si="53"/>
        <v>0.8020000000000006</v>
      </c>
      <c r="R866" s="276">
        <f t="shared" si="54"/>
        <v>0.875</v>
      </c>
      <c r="S866" s="533"/>
      <c r="T866"/>
      <c r="U866"/>
      <c r="V866"/>
      <c r="W866"/>
    </row>
    <row r="867" spans="15:23">
      <c r="O867" s="340"/>
      <c r="Q867" s="275">
        <f t="shared" si="53"/>
        <v>0.8030000000000006</v>
      </c>
      <c r="R867" s="276">
        <f t="shared" si="54"/>
        <v>0.875</v>
      </c>
      <c r="S867" s="533"/>
      <c r="T867"/>
      <c r="U867"/>
      <c r="V867"/>
      <c r="W867"/>
    </row>
    <row r="868" spans="15:23">
      <c r="O868" s="340"/>
      <c r="Q868" s="275">
        <f t="shared" si="53"/>
        <v>0.8040000000000006</v>
      </c>
      <c r="R868" s="276">
        <f t="shared" si="54"/>
        <v>0.875</v>
      </c>
      <c r="S868" s="533"/>
      <c r="T868"/>
      <c r="U868"/>
      <c r="V868"/>
      <c r="W868"/>
    </row>
    <row r="869" spans="15:23">
      <c r="O869" s="340"/>
      <c r="Q869" s="275">
        <f t="shared" si="53"/>
        <v>0.8050000000000006</v>
      </c>
      <c r="R869" s="276">
        <f t="shared" si="54"/>
        <v>0.875</v>
      </c>
      <c r="S869" s="533"/>
      <c r="T869"/>
      <c r="U869"/>
      <c r="V869"/>
      <c r="W869"/>
    </row>
    <row r="870" spans="15:23">
      <c r="O870" s="340"/>
      <c r="Q870" s="275">
        <f t="shared" si="53"/>
        <v>0.8060000000000006</v>
      </c>
      <c r="R870" s="276">
        <f t="shared" si="54"/>
        <v>0.875</v>
      </c>
      <c r="S870" s="533"/>
      <c r="T870"/>
      <c r="U870"/>
      <c r="V870"/>
      <c r="W870"/>
    </row>
    <row r="871" spans="15:23">
      <c r="O871" s="340"/>
      <c r="Q871" s="275">
        <f t="shared" si="53"/>
        <v>0.80700000000000061</v>
      </c>
      <c r="R871" s="276">
        <f t="shared" si="54"/>
        <v>0.875</v>
      </c>
      <c r="S871" s="533"/>
      <c r="T871"/>
      <c r="U871"/>
      <c r="V871"/>
      <c r="W871"/>
    </row>
    <row r="872" spans="15:23">
      <c r="O872" s="340"/>
      <c r="Q872" s="275">
        <f t="shared" si="53"/>
        <v>0.80800000000000061</v>
      </c>
      <c r="R872" s="276">
        <f t="shared" si="54"/>
        <v>0.875</v>
      </c>
      <c r="S872" s="533"/>
      <c r="T872"/>
      <c r="U872"/>
      <c r="V872"/>
      <c r="W872"/>
    </row>
    <row r="873" spans="15:23">
      <c r="O873" s="340"/>
      <c r="Q873" s="275">
        <f t="shared" si="53"/>
        <v>0.80900000000000061</v>
      </c>
      <c r="R873" s="276">
        <f t="shared" si="54"/>
        <v>0.875</v>
      </c>
      <c r="S873" s="533"/>
      <c r="T873"/>
      <c r="U873"/>
      <c r="V873"/>
      <c r="W873"/>
    </row>
    <row r="874" spans="15:23">
      <c r="O874" s="340"/>
      <c r="Q874" s="275">
        <f t="shared" si="53"/>
        <v>0.81000000000000061</v>
      </c>
      <c r="R874" s="276">
        <f t="shared" si="54"/>
        <v>0.875</v>
      </c>
      <c r="S874" s="533"/>
      <c r="T874"/>
      <c r="U874"/>
      <c r="V874"/>
      <c r="W874"/>
    </row>
    <row r="875" spans="15:23">
      <c r="O875" s="340"/>
      <c r="Q875" s="275">
        <f t="shared" si="53"/>
        <v>0.81100000000000061</v>
      </c>
      <c r="R875" s="276">
        <f t="shared" si="54"/>
        <v>0.875</v>
      </c>
      <c r="S875" s="533"/>
      <c r="T875"/>
      <c r="U875"/>
      <c r="V875"/>
      <c r="W875"/>
    </row>
    <row r="876" spans="15:23">
      <c r="O876" s="340"/>
      <c r="Q876" s="275">
        <f t="shared" si="53"/>
        <v>0.81200000000000061</v>
      </c>
      <c r="R876" s="276">
        <f t="shared" si="54"/>
        <v>0.875</v>
      </c>
      <c r="S876" s="533"/>
      <c r="T876"/>
      <c r="U876"/>
      <c r="V876"/>
      <c r="W876"/>
    </row>
    <row r="877" spans="15:23">
      <c r="O877" s="340"/>
      <c r="Q877" s="275">
        <f t="shared" si="53"/>
        <v>0.81300000000000061</v>
      </c>
      <c r="R877" s="276">
        <f t="shared" si="54"/>
        <v>0.875</v>
      </c>
      <c r="S877" s="533"/>
      <c r="T877"/>
      <c r="U877"/>
      <c r="V877"/>
      <c r="W877"/>
    </row>
    <row r="878" spans="15:23">
      <c r="O878" s="340"/>
      <c r="Q878" s="275">
        <f t="shared" si="53"/>
        <v>0.81400000000000061</v>
      </c>
      <c r="R878" s="276">
        <f t="shared" si="54"/>
        <v>0.875</v>
      </c>
      <c r="S878" s="533"/>
      <c r="T878"/>
      <c r="U878"/>
      <c r="V878"/>
      <c r="W878"/>
    </row>
    <row r="879" spans="15:23">
      <c r="O879" s="340"/>
      <c r="Q879" s="275">
        <f t="shared" si="53"/>
        <v>0.81500000000000061</v>
      </c>
      <c r="R879" s="276">
        <f t="shared" si="54"/>
        <v>0.875</v>
      </c>
      <c r="S879" s="533"/>
      <c r="T879"/>
      <c r="U879"/>
      <c r="V879"/>
      <c r="W879"/>
    </row>
    <row r="880" spans="15:23">
      <c r="O880" s="340"/>
      <c r="Q880" s="275">
        <f t="shared" si="53"/>
        <v>0.81600000000000061</v>
      </c>
      <c r="R880" s="276">
        <f t="shared" si="54"/>
        <v>0.875</v>
      </c>
      <c r="S880" s="533"/>
      <c r="T880"/>
      <c r="U880"/>
      <c r="V880"/>
      <c r="W880"/>
    </row>
    <row r="881" spans="15:23">
      <c r="O881" s="340"/>
      <c r="Q881" s="275">
        <f t="shared" si="53"/>
        <v>0.81700000000000061</v>
      </c>
      <c r="R881" s="276">
        <f t="shared" si="54"/>
        <v>0.875</v>
      </c>
      <c r="S881" s="533"/>
      <c r="T881"/>
      <c r="U881"/>
      <c r="V881"/>
      <c r="W881"/>
    </row>
    <row r="882" spans="15:23">
      <c r="O882" s="340"/>
      <c r="Q882" s="275">
        <f t="shared" si="53"/>
        <v>0.81800000000000062</v>
      </c>
      <c r="R882" s="276">
        <f t="shared" si="54"/>
        <v>0.875</v>
      </c>
      <c r="S882" s="533"/>
      <c r="T882"/>
      <c r="U882"/>
      <c r="V882"/>
      <c r="W882"/>
    </row>
    <row r="883" spans="15:23">
      <c r="O883" s="340"/>
      <c r="Q883" s="275">
        <f t="shared" si="53"/>
        <v>0.81900000000000062</v>
      </c>
      <c r="R883" s="276">
        <f t="shared" si="54"/>
        <v>0.875</v>
      </c>
      <c r="S883" s="533"/>
      <c r="T883"/>
      <c r="U883"/>
      <c r="V883"/>
      <c r="W883"/>
    </row>
    <row r="884" spans="15:23">
      <c r="O884" s="340"/>
      <c r="Q884" s="275">
        <f t="shared" si="53"/>
        <v>0.82000000000000062</v>
      </c>
      <c r="R884" s="276">
        <f t="shared" ref="R884:R912" si="55">7/8</f>
        <v>0.875</v>
      </c>
      <c r="S884" s="533"/>
      <c r="T884"/>
      <c r="U884"/>
      <c r="V884"/>
      <c r="W884"/>
    </row>
    <row r="885" spans="15:23">
      <c r="O885" s="340"/>
      <c r="Q885" s="275">
        <f t="shared" si="53"/>
        <v>0.82100000000000062</v>
      </c>
      <c r="R885" s="276">
        <f t="shared" si="55"/>
        <v>0.875</v>
      </c>
      <c r="S885" s="533"/>
      <c r="T885"/>
      <c r="U885"/>
      <c r="V885"/>
      <c r="W885"/>
    </row>
    <row r="886" spans="15:23">
      <c r="O886" s="340"/>
      <c r="Q886" s="275">
        <f t="shared" si="53"/>
        <v>0.82200000000000062</v>
      </c>
      <c r="R886" s="276">
        <f t="shared" si="55"/>
        <v>0.875</v>
      </c>
      <c r="S886" s="533"/>
      <c r="T886"/>
      <c r="U886"/>
      <c r="V886"/>
      <c r="W886"/>
    </row>
    <row r="887" spans="15:23">
      <c r="O887" s="340"/>
      <c r="Q887" s="275">
        <f t="shared" si="53"/>
        <v>0.82300000000000062</v>
      </c>
      <c r="R887" s="276">
        <f t="shared" si="55"/>
        <v>0.875</v>
      </c>
      <c r="S887" s="533"/>
      <c r="T887"/>
      <c r="U887"/>
      <c r="V887"/>
      <c r="W887"/>
    </row>
    <row r="888" spans="15:23">
      <c r="O888" s="340"/>
      <c r="Q888" s="275">
        <f t="shared" si="53"/>
        <v>0.82400000000000062</v>
      </c>
      <c r="R888" s="276">
        <f t="shared" si="55"/>
        <v>0.875</v>
      </c>
      <c r="S888" s="533"/>
      <c r="T888"/>
      <c r="U888"/>
      <c r="V888"/>
      <c r="W888"/>
    </row>
    <row r="889" spans="15:23">
      <c r="O889" s="340"/>
      <c r="Q889" s="275">
        <f t="shared" si="53"/>
        <v>0.82500000000000062</v>
      </c>
      <c r="R889" s="276">
        <f t="shared" si="55"/>
        <v>0.875</v>
      </c>
      <c r="S889" s="533"/>
      <c r="T889"/>
      <c r="U889"/>
      <c r="V889"/>
      <c r="W889"/>
    </row>
    <row r="890" spans="15:23">
      <c r="O890" s="340"/>
      <c r="Q890" s="275">
        <f t="shared" si="53"/>
        <v>0.82600000000000062</v>
      </c>
      <c r="R890" s="276">
        <f t="shared" si="55"/>
        <v>0.875</v>
      </c>
      <c r="S890" s="533"/>
      <c r="T890"/>
      <c r="U890"/>
      <c r="V890"/>
      <c r="W890"/>
    </row>
    <row r="891" spans="15:23">
      <c r="O891" s="340"/>
      <c r="Q891" s="275">
        <f t="shared" si="53"/>
        <v>0.82700000000000062</v>
      </c>
      <c r="R891" s="276">
        <f t="shared" si="55"/>
        <v>0.875</v>
      </c>
      <c r="S891" s="533"/>
      <c r="T891"/>
      <c r="U891"/>
      <c r="V891"/>
      <c r="W891"/>
    </row>
    <row r="892" spans="15:23">
      <c r="O892" s="340"/>
      <c r="Q892" s="275">
        <f t="shared" si="53"/>
        <v>0.82800000000000062</v>
      </c>
      <c r="R892" s="276">
        <f t="shared" si="55"/>
        <v>0.875</v>
      </c>
      <c r="S892" s="533"/>
      <c r="T892"/>
      <c r="U892"/>
      <c r="V892"/>
      <c r="W892"/>
    </row>
    <row r="893" spans="15:23">
      <c r="O893" s="340"/>
      <c r="Q893" s="275">
        <f t="shared" si="53"/>
        <v>0.82900000000000063</v>
      </c>
      <c r="R893" s="276">
        <f t="shared" si="55"/>
        <v>0.875</v>
      </c>
      <c r="S893" s="533"/>
      <c r="T893"/>
      <c r="U893"/>
      <c r="V893"/>
      <c r="W893"/>
    </row>
    <row r="894" spans="15:23">
      <c r="O894" s="340"/>
      <c r="Q894" s="275">
        <f t="shared" si="53"/>
        <v>0.83000000000000063</v>
      </c>
      <c r="R894" s="276">
        <f t="shared" si="55"/>
        <v>0.875</v>
      </c>
      <c r="S894" s="533"/>
      <c r="T894"/>
      <c r="U894"/>
      <c r="V894"/>
      <c r="W894"/>
    </row>
    <row r="895" spans="15:23">
      <c r="O895" s="340"/>
      <c r="Q895" s="275">
        <f t="shared" si="53"/>
        <v>0.83100000000000063</v>
      </c>
      <c r="R895" s="276">
        <f t="shared" si="55"/>
        <v>0.875</v>
      </c>
      <c r="S895" s="533"/>
      <c r="T895"/>
      <c r="U895"/>
      <c r="V895"/>
      <c r="W895"/>
    </row>
    <row r="896" spans="15:23">
      <c r="O896" s="340"/>
      <c r="Q896" s="275">
        <f t="shared" si="53"/>
        <v>0.83200000000000063</v>
      </c>
      <c r="R896" s="276">
        <f t="shared" si="55"/>
        <v>0.875</v>
      </c>
      <c r="S896" s="533"/>
      <c r="T896"/>
      <c r="U896"/>
      <c r="V896"/>
      <c r="W896"/>
    </row>
    <row r="897" spans="15:23">
      <c r="O897" s="340"/>
      <c r="Q897" s="275">
        <f t="shared" ref="Q897:Q960" si="56">Q896+0.001</f>
        <v>0.83300000000000063</v>
      </c>
      <c r="R897" s="276">
        <f t="shared" si="55"/>
        <v>0.875</v>
      </c>
      <c r="S897" s="533"/>
      <c r="T897"/>
      <c r="U897"/>
      <c r="V897"/>
      <c r="W897"/>
    </row>
    <row r="898" spans="15:23">
      <c r="O898" s="340"/>
      <c r="Q898" s="275">
        <f t="shared" si="56"/>
        <v>0.83400000000000063</v>
      </c>
      <c r="R898" s="276">
        <f t="shared" si="55"/>
        <v>0.875</v>
      </c>
      <c r="S898" s="533"/>
      <c r="T898"/>
      <c r="U898"/>
      <c r="V898"/>
      <c r="W898"/>
    </row>
    <row r="899" spans="15:23">
      <c r="O899" s="340"/>
      <c r="Q899" s="275">
        <f t="shared" si="56"/>
        <v>0.83500000000000063</v>
      </c>
      <c r="R899" s="276">
        <f t="shared" si="55"/>
        <v>0.875</v>
      </c>
      <c r="S899" s="533"/>
      <c r="T899"/>
      <c r="U899"/>
      <c r="V899"/>
      <c r="W899"/>
    </row>
    <row r="900" spans="15:23">
      <c r="O900" s="340"/>
      <c r="Q900" s="275">
        <f t="shared" si="56"/>
        <v>0.83600000000000063</v>
      </c>
      <c r="R900" s="276">
        <f t="shared" si="55"/>
        <v>0.875</v>
      </c>
      <c r="S900" s="533"/>
      <c r="T900"/>
      <c r="U900"/>
      <c r="V900"/>
      <c r="W900"/>
    </row>
    <row r="901" spans="15:23">
      <c r="O901" s="340"/>
      <c r="Q901" s="275">
        <f t="shared" si="56"/>
        <v>0.83700000000000063</v>
      </c>
      <c r="R901" s="276">
        <f t="shared" si="55"/>
        <v>0.875</v>
      </c>
      <c r="S901" s="533"/>
      <c r="T901"/>
      <c r="U901"/>
      <c r="V901"/>
      <c r="W901"/>
    </row>
    <row r="902" spans="15:23">
      <c r="O902" s="340"/>
      <c r="Q902" s="275">
        <f t="shared" si="56"/>
        <v>0.83800000000000063</v>
      </c>
      <c r="R902" s="276">
        <f t="shared" si="55"/>
        <v>0.875</v>
      </c>
      <c r="S902" s="533"/>
      <c r="T902"/>
      <c r="U902"/>
      <c r="V902"/>
      <c r="W902"/>
    </row>
    <row r="903" spans="15:23">
      <c r="O903" s="340"/>
      <c r="Q903" s="275">
        <f t="shared" si="56"/>
        <v>0.83900000000000063</v>
      </c>
      <c r="R903" s="276">
        <f t="shared" si="55"/>
        <v>0.875</v>
      </c>
      <c r="S903" s="533"/>
      <c r="T903"/>
      <c r="U903"/>
      <c r="V903"/>
      <c r="W903"/>
    </row>
    <row r="904" spans="15:23">
      <c r="O904" s="340"/>
      <c r="Q904" s="275">
        <f t="shared" si="56"/>
        <v>0.84000000000000064</v>
      </c>
      <c r="R904" s="276">
        <f t="shared" si="55"/>
        <v>0.875</v>
      </c>
      <c r="S904" s="533"/>
      <c r="T904"/>
      <c r="U904"/>
      <c r="V904"/>
      <c r="W904"/>
    </row>
    <row r="905" spans="15:23">
      <c r="O905" s="340"/>
      <c r="Q905" s="275">
        <f t="shared" si="56"/>
        <v>0.84100000000000064</v>
      </c>
      <c r="R905" s="276">
        <f t="shared" si="55"/>
        <v>0.875</v>
      </c>
      <c r="S905" s="533"/>
      <c r="T905"/>
      <c r="U905"/>
      <c r="V905"/>
      <c r="W905"/>
    </row>
    <row r="906" spans="15:23">
      <c r="O906" s="340"/>
      <c r="Q906" s="275">
        <f t="shared" si="56"/>
        <v>0.84200000000000064</v>
      </c>
      <c r="R906" s="276">
        <f t="shared" si="55"/>
        <v>0.875</v>
      </c>
      <c r="S906" s="533"/>
      <c r="T906"/>
      <c r="U906"/>
      <c r="V906"/>
      <c r="W906"/>
    </row>
    <row r="907" spans="15:23">
      <c r="O907" s="340"/>
      <c r="Q907" s="275">
        <f t="shared" si="56"/>
        <v>0.84300000000000064</v>
      </c>
      <c r="R907" s="276">
        <f t="shared" si="55"/>
        <v>0.875</v>
      </c>
      <c r="S907" s="533"/>
      <c r="T907"/>
      <c r="U907"/>
      <c r="V907"/>
      <c r="W907"/>
    </row>
    <row r="908" spans="15:23">
      <c r="O908" s="340"/>
      <c r="Q908" s="275">
        <f t="shared" si="56"/>
        <v>0.84400000000000064</v>
      </c>
      <c r="R908" s="276">
        <f t="shared" si="55"/>
        <v>0.875</v>
      </c>
      <c r="S908" s="533"/>
      <c r="T908"/>
      <c r="U908"/>
      <c r="V908"/>
      <c r="W908"/>
    </row>
    <row r="909" spans="15:23">
      <c r="O909" s="340"/>
      <c r="Q909" s="275">
        <f t="shared" si="56"/>
        <v>0.84500000000000064</v>
      </c>
      <c r="R909" s="276">
        <f t="shared" si="55"/>
        <v>0.875</v>
      </c>
      <c r="S909" s="533"/>
      <c r="T909"/>
      <c r="U909"/>
      <c r="V909"/>
      <c r="W909"/>
    </row>
    <row r="910" spans="15:23">
      <c r="O910" s="340"/>
      <c r="Q910" s="275">
        <f t="shared" si="56"/>
        <v>0.84600000000000064</v>
      </c>
      <c r="R910" s="276">
        <f t="shared" si="55"/>
        <v>0.875</v>
      </c>
      <c r="S910" s="533"/>
      <c r="T910"/>
      <c r="U910"/>
      <c r="V910"/>
      <c r="W910"/>
    </row>
    <row r="911" spans="15:23">
      <c r="O911" s="340"/>
      <c r="Q911" s="275">
        <f t="shared" si="56"/>
        <v>0.84700000000000064</v>
      </c>
      <c r="R911" s="276">
        <f t="shared" si="55"/>
        <v>0.875</v>
      </c>
      <c r="S911" s="533"/>
      <c r="T911"/>
      <c r="U911"/>
      <c r="V911"/>
      <c r="W911"/>
    </row>
    <row r="912" spans="15:23">
      <c r="O912" s="340"/>
      <c r="Q912" s="275">
        <f t="shared" si="56"/>
        <v>0.84800000000000064</v>
      </c>
      <c r="R912" s="276">
        <f t="shared" si="55"/>
        <v>0.875</v>
      </c>
      <c r="S912" s="533"/>
      <c r="T912"/>
      <c r="U912"/>
      <c r="V912"/>
      <c r="W912"/>
    </row>
    <row r="913" spans="15:23">
      <c r="O913" s="340"/>
      <c r="Q913" s="275">
        <f t="shared" si="56"/>
        <v>0.84900000000000064</v>
      </c>
      <c r="R913" s="257">
        <v>1</v>
      </c>
      <c r="S913" s="533"/>
      <c r="T913"/>
      <c r="U913"/>
      <c r="V913"/>
      <c r="W913"/>
    </row>
    <row r="914" spans="15:23">
      <c r="O914" s="340"/>
      <c r="Q914" s="275">
        <f t="shared" si="56"/>
        <v>0.85000000000000064</v>
      </c>
      <c r="R914" s="257">
        <v>1</v>
      </c>
      <c r="S914" s="533"/>
      <c r="T914"/>
      <c r="U914"/>
      <c r="V914"/>
      <c r="W914"/>
    </row>
    <row r="915" spans="15:23">
      <c r="O915" s="340"/>
      <c r="Q915" s="275">
        <f t="shared" si="56"/>
        <v>0.85100000000000064</v>
      </c>
      <c r="R915" s="257">
        <v>1</v>
      </c>
      <c r="S915" s="533"/>
      <c r="T915"/>
      <c r="U915"/>
      <c r="V915"/>
      <c r="W915"/>
    </row>
    <row r="916" spans="15:23">
      <c r="O916" s="340"/>
      <c r="Q916" s="275">
        <f t="shared" si="56"/>
        <v>0.85200000000000065</v>
      </c>
      <c r="R916" s="257">
        <v>1</v>
      </c>
      <c r="S916" s="533"/>
      <c r="T916"/>
      <c r="U916"/>
      <c r="V916"/>
      <c r="W916"/>
    </row>
    <row r="917" spans="15:23">
      <c r="O917" s="340"/>
      <c r="Q917" s="275">
        <f t="shared" si="56"/>
        <v>0.85300000000000065</v>
      </c>
      <c r="R917" s="257">
        <v>1</v>
      </c>
      <c r="S917" s="533"/>
      <c r="T917"/>
      <c r="U917"/>
      <c r="V917"/>
      <c r="W917"/>
    </row>
    <row r="918" spans="15:23">
      <c r="O918" s="340"/>
      <c r="Q918" s="275">
        <f t="shared" si="56"/>
        <v>0.85400000000000065</v>
      </c>
      <c r="R918" s="257">
        <v>1</v>
      </c>
      <c r="S918" s="533"/>
      <c r="T918"/>
      <c r="U918"/>
      <c r="V918"/>
      <c r="W918"/>
    </row>
    <row r="919" spans="15:23">
      <c r="Q919" s="275">
        <f t="shared" si="56"/>
        <v>0.85500000000000065</v>
      </c>
      <c r="R919" s="257">
        <v>1</v>
      </c>
      <c r="S919" s="533"/>
      <c r="T919"/>
      <c r="U919"/>
      <c r="V919"/>
      <c r="W919"/>
    </row>
    <row r="920" spans="15:23">
      <c r="Q920" s="275">
        <f t="shared" si="56"/>
        <v>0.85600000000000065</v>
      </c>
      <c r="R920" s="257">
        <v>1</v>
      </c>
      <c r="S920" s="533"/>
      <c r="T920"/>
      <c r="U920"/>
      <c r="V920"/>
      <c r="W920"/>
    </row>
    <row r="921" spans="15:23">
      <c r="Q921" s="275">
        <f t="shared" si="56"/>
        <v>0.85700000000000065</v>
      </c>
      <c r="R921" s="257">
        <v>1</v>
      </c>
      <c r="S921" s="533"/>
      <c r="T921"/>
      <c r="U921"/>
      <c r="V921"/>
      <c r="W921"/>
    </row>
    <row r="922" spans="15:23">
      <c r="Q922" s="275">
        <f t="shared" si="56"/>
        <v>0.85800000000000065</v>
      </c>
      <c r="R922" s="257">
        <v>1</v>
      </c>
      <c r="S922" s="533"/>
      <c r="T922"/>
      <c r="U922"/>
      <c r="V922"/>
      <c r="W922"/>
    </row>
    <row r="923" spans="15:23">
      <c r="Q923" s="275">
        <f t="shared" si="56"/>
        <v>0.85900000000000065</v>
      </c>
      <c r="R923" s="257">
        <v>1</v>
      </c>
      <c r="S923" s="533"/>
      <c r="T923"/>
      <c r="U923"/>
      <c r="V923"/>
      <c r="W923"/>
    </row>
    <row r="924" spans="15:23">
      <c r="Q924" s="275">
        <f t="shared" si="56"/>
        <v>0.86000000000000065</v>
      </c>
      <c r="R924" s="257">
        <v>1</v>
      </c>
      <c r="S924" s="533"/>
      <c r="T924"/>
      <c r="U924"/>
      <c r="V924"/>
      <c r="W924"/>
    </row>
    <row r="925" spans="15:23">
      <c r="Q925" s="275">
        <f t="shared" si="56"/>
        <v>0.86100000000000065</v>
      </c>
      <c r="R925" s="257">
        <v>1</v>
      </c>
      <c r="S925" s="533"/>
      <c r="T925"/>
      <c r="U925"/>
      <c r="V925"/>
      <c r="W925"/>
    </row>
    <row r="926" spans="15:23">
      <c r="Q926" s="275">
        <f t="shared" si="56"/>
        <v>0.86200000000000065</v>
      </c>
      <c r="R926" s="257">
        <v>1</v>
      </c>
      <c r="S926" s="533"/>
      <c r="T926"/>
      <c r="U926"/>
      <c r="V926"/>
      <c r="W926"/>
    </row>
    <row r="927" spans="15:23">
      <c r="Q927" s="275">
        <f t="shared" si="56"/>
        <v>0.86300000000000066</v>
      </c>
      <c r="R927" s="257">
        <v>1</v>
      </c>
      <c r="S927" s="533"/>
      <c r="T927"/>
      <c r="U927"/>
      <c r="V927"/>
      <c r="W927"/>
    </row>
    <row r="928" spans="15:23">
      <c r="Q928" s="275">
        <f t="shared" si="56"/>
        <v>0.86400000000000066</v>
      </c>
      <c r="R928" s="257">
        <v>1</v>
      </c>
      <c r="S928" s="533"/>
      <c r="T928"/>
      <c r="U928"/>
      <c r="V928"/>
      <c r="W928"/>
    </row>
    <row r="929" spans="17:23">
      <c r="Q929" s="275">
        <f t="shared" si="56"/>
        <v>0.86500000000000066</v>
      </c>
      <c r="R929" s="257">
        <v>1</v>
      </c>
      <c r="S929" s="533"/>
      <c r="T929"/>
      <c r="U929"/>
      <c r="V929"/>
      <c r="W929"/>
    </row>
    <row r="930" spans="17:23">
      <c r="Q930" s="275">
        <f t="shared" si="56"/>
        <v>0.86600000000000066</v>
      </c>
      <c r="R930" s="257">
        <v>1</v>
      </c>
      <c r="S930" s="533"/>
      <c r="T930"/>
      <c r="U930"/>
      <c r="V930"/>
      <c r="W930"/>
    </row>
    <row r="931" spans="17:23">
      <c r="Q931" s="275">
        <f t="shared" si="56"/>
        <v>0.86700000000000066</v>
      </c>
      <c r="R931" s="257">
        <v>1</v>
      </c>
      <c r="S931" s="533"/>
      <c r="T931"/>
      <c r="U931"/>
      <c r="V931"/>
      <c r="W931"/>
    </row>
    <row r="932" spans="17:23">
      <c r="Q932" s="275">
        <f t="shared" si="56"/>
        <v>0.86800000000000066</v>
      </c>
      <c r="R932" s="257">
        <v>1</v>
      </c>
      <c r="S932" s="533"/>
      <c r="T932"/>
      <c r="U932"/>
      <c r="V932"/>
      <c r="W932"/>
    </row>
    <row r="933" spans="17:23">
      <c r="Q933" s="275">
        <f t="shared" si="56"/>
        <v>0.86900000000000066</v>
      </c>
      <c r="R933" s="257">
        <v>1</v>
      </c>
      <c r="S933" s="533"/>
      <c r="T933"/>
      <c r="U933"/>
      <c r="V933"/>
      <c r="W933"/>
    </row>
    <row r="934" spans="17:23">
      <c r="Q934" s="275">
        <f t="shared" si="56"/>
        <v>0.87000000000000066</v>
      </c>
      <c r="R934" s="257">
        <v>1</v>
      </c>
      <c r="S934" s="533"/>
      <c r="T934"/>
      <c r="U934"/>
      <c r="V934"/>
      <c r="W934"/>
    </row>
    <row r="935" spans="17:23">
      <c r="Q935" s="275">
        <f t="shared" si="56"/>
        <v>0.87100000000000066</v>
      </c>
      <c r="R935" s="257">
        <v>1</v>
      </c>
      <c r="S935" s="533"/>
      <c r="T935"/>
      <c r="U935"/>
      <c r="V935"/>
      <c r="W935"/>
    </row>
    <row r="936" spans="17:23">
      <c r="Q936" s="275">
        <f t="shared" si="56"/>
        <v>0.87200000000000066</v>
      </c>
      <c r="R936" s="257">
        <v>1</v>
      </c>
      <c r="S936" s="533"/>
      <c r="T936"/>
      <c r="U936"/>
      <c r="V936"/>
      <c r="W936"/>
    </row>
    <row r="937" spans="17:23">
      <c r="Q937" s="275">
        <f t="shared" si="56"/>
        <v>0.87300000000000066</v>
      </c>
      <c r="R937" s="257">
        <v>1</v>
      </c>
      <c r="S937" s="533"/>
      <c r="T937"/>
      <c r="U937"/>
      <c r="V937"/>
      <c r="W937"/>
    </row>
    <row r="938" spans="17:23">
      <c r="Q938" s="275">
        <f t="shared" si="56"/>
        <v>0.87400000000000067</v>
      </c>
      <c r="R938" s="257">
        <v>1</v>
      </c>
      <c r="S938" s="533"/>
      <c r="T938"/>
      <c r="U938"/>
      <c r="V938"/>
      <c r="W938"/>
    </row>
    <row r="939" spans="17:23">
      <c r="Q939" s="275">
        <f t="shared" si="56"/>
        <v>0.87500000000000067</v>
      </c>
      <c r="R939" s="257">
        <v>1</v>
      </c>
      <c r="S939" s="533"/>
      <c r="T939"/>
      <c r="U939"/>
      <c r="V939"/>
      <c r="W939"/>
    </row>
    <row r="940" spans="17:23">
      <c r="Q940" s="275">
        <f t="shared" si="56"/>
        <v>0.87600000000000067</v>
      </c>
      <c r="R940" s="257">
        <v>1</v>
      </c>
      <c r="S940" s="533"/>
      <c r="T940"/>
      <c r="U940"/>
      <c r="V940"/>
      <c r="W940"/>
    </row>
    <row r="941" spans="17:23">
      <c r="Q941" s="275">
        <f t="shared" si="56"/>
        <v>0.87700000000000067</v>
      </c>
      <c r="R941" s="257">
        <v>1</v>
      </c>
      <c r="S941" s="533"/>
      <c r="T941"/>
      <c r="U941"/>
      <c r="V941"/>
      <c r="W941"/>
    </row>
    <row r="942" spans="17:23">
      <c r="Q942" s="275">
        <f t="shared" si="56"/>
        <v>0.87800000000000067</v>
      </c>
      <c r="R942" s="257">
        <v>1</v>
      </c>
      <c r="S942" s="533"/>
      <c r="T942"/>
      <c r="U942"/>
      <c r="V942"/>
      <c r="W942"/>
    </row>
    <row r="943" spans="17:23">
      <c r="Q943" s="275">
        <f t="shared" si="56"/>
        <v>0.87900000000000067</v>
      </c>
      <c r="R943" s="257">
        <v>1</v>
      </c>
      <c r="S943" s="533"/>
      <c r="T943"/>
      <c r="U943"/>
      <c r="V943"/>
      <c r="W943"/>
    </row>
    <row r="944" spans="17:23">
      <c r="Q944" s="275">
        <f t="shared" si="56"/>
        <v>0.88000000000000067</v>
      </c>
      <c r="R944" s="257">
        <v>1</v>
      </c>
      <c r="S944" s="533"/>
      <c r="T944"/>
      <c r="U944"/>
      <c r="V944"/>
      <c r="W944"/>
    </row>
    <row r="945" spans="17:23">
      <c r="Q945" s="275">
        <f t="shared" si="56"/>
        <v>0.88100000000000067</v>
      </c>
      <c r="R945" s="257">
        <v>1</v>
      </c>
      <c r="S945" s="533"/>
      <c r="T945"/>
      <c r="U945"/>
      <c r="V945"/>
      <c r="W945"/>
    </row>
    <row r="946" spans="17:23">
      <c r="Q946" s="275">
        <f t="shared" si="56"/>
        <v>0.88200000000000067</v>
      </c>
      <c r="R946" s="257">
        <v>1</v>
      </c>
      <c r="S946" s="533"/>
      <c r="T946"/>
      <c r="U946"/>
      <c r="V946"/>
      <c r="W946"/>
    </row>
    <row r="947" spans="17:23">
      <c r="Q947" s="275">
        <f t="shared" si="56"/>
        <v>0.88300000000000067</v>
      </c>
      <c r="R947" s="257">
        <v>1</v>
      </c>
      <c r="S947" s="533"/>
      <c r="T947"/>
      <c r="U947"/>
      <c r="V947"/>
      <c r="W947"/>
    </row>
    <row r="948" spans="17:23">
      <c r="Q948" s="275">
        <f t="shared" si="56"/>
        <v>0.88400000000000067</v>
      </c>
      <c r="R948" s="257">
        <v>1</v>
      </c>
      <c r="S948" s="533"/>
      <c r="T948"/>
      <c r="U948"/>
      <c r="V948"/>
      <c r="W948"/>
    </row>
    <row r="949" spans="17:23">
      <c r="Q949" s="275">
        <f t="shared" si="56"/>
        <v>0.88500000000000068</v>
      </c>
      <c r="R949" s="257">
        <v>1</v>
      </c>
      <c r="S949" s="533"/>
      <c r="T949"/>
      <c r="U949"/>
      <c r="V949"/>
      <c r="W949"/>
    </row>
    <row r="950" spans="17:23">
      <c r="Q950" s="275">
        <f t="shared" si="56"/>
        <v>0.88600000000000068</v>
      </c>
      <c r="R950" s="257">
        <v>1</v>
      </c>
      <c r="S950" s="533"/>
      <c r="T950"/>
      <c r="U950"/>
      <c r="V950"/>
      <c r="W950"/>
    </row>
    <row r="951" spans="17:23">
      <c r="Q951" s="275">
        <f t="shared" si="56"/>
        <v>0.88700000000000068</v>
      </c>
      <c r="R951" s="257">
        <v>1</v>
      </c>
      <c r="S951" s="533"/>
      <c r="T951"/>
      <c r="U951"/>
      <c r="V951"/>
      <c r="W951"/>
    </row>
    <row r="952" spans="17:23">
      <c r="Q952" s="275">
        <f t="shared" si="56"/>
        <v>0.88800000000000068</v>
      </c>
      <c r="R952" s="257">
        <v>1</v>
      </c>
      <c r="S952" s="533"/>
      <c r="T952"/>
      <c r="U952"/>
      <c r="V952"/>
      <c r="W952"/>
    </row>
    <row r="953" spans="17:23">
      <c r="Q953" s="275">
        <f t="shared" si="56"/>
        <v>0.88900000000000068</v>
      </c>
      <c r="R953" s="257">
        <v>1</v>
      </c>
      <c r="S953" s="533"/>
      <c r="T953"/>
      <c r="U953"/>
      <c r="V953"/>
      <c r="W953"/>
    </row>
    <row r="954" spans="17:23">
      <c r="Q954" s="275">
        <f t="shared" si="56"/>
        <v>0.89000000000000068</v>
      </c>
      <c r="R954" s="257">
        <v>1</v>
      </c>
      <c r="S954" s="533"/>
      <c r="T954"/>
      <c r="U954"/>
      <c r="V954"/>
      <c r="W954"/>
    </row>
    <row r="955" spans="17:23">
      <c r="Q955" s="275">
        <f t="shared" si="56"/>
        <v>0.89100000000000068</v>
      </c>
      <c r="R955" s="257">
        <v>1</v>
      </c>
      <c r="S955" s="533"/>
      <c r="T955"/>
      <c r="U955"/>
      <c r="V955"/>
      <c r="W955"/>
    </row>
    <row r="956" spans="17:23">
      <c r="Q956" s="275">
        <f t="shared" si="56"/>
        <v>0.89200000000000068</v>
      </c>
      <c r="R956" s="257">
        <v>1</v>
      </c>
      <c r="S956" s="533"/>
      <c r="T956"/>
      <c r="U956"/>
      <c r="V956"/>
      <c r="W956"/>
    </row>
    <row r="957" spans="17:23">
      <c r="Q957" s="275">
        <f t="shared" si="56"/>
        <v>0.89300000000000068</v>
      </c>
      <c r="R957" s="257">
        <v>1</v>
      </c>
      <c r="S957" s="533"/>
      <c r="T957"/>
      <c r="U957"/>
      <c r="V957"/>
      <c r="W957"/>
    </row>
    <row r="958" spans="17:23">
      <c r="Q958" s="275">
        <f t="shared" si="56"/>
        <v>0.89400000000000068</v>
      </c>
      <c r="R958" s="257">
        <v>1</v>
      </c>
      <c r="S958" s="533"/>
      <c r="T958"/>
      <c r="U958"/>
      <c r="V958"/>
      <c r="W958"/>
    </row>
    <row r="959" spans="17:23">
      <c r="Q959" s="275">
        <f t="shared" si="56"/>
        <v>0.89500000000000068</v>
      </c>
      <c r="R959" s="257">
        <v>1</v>
      </c>
      <c r="S959" s="533"/>
      <c r="T959"/>
      <c r="U959"/>
      <c r="V959"/>
      <c r="W959"/>
    </row>
    <row r="960" spans="17:23">
      <c r="Q960" s="275">
        <f t="shared" si="56"/>
        <v>0.89600000000000068</v>
      </c>
      <c r="R960" s="257">
        <v>1</v>
      </c>
      <c r="S960" s="533"/>
      <c r="T960"/>
      <c r="U960"/>
      <c r="V960"/>
      <c r="W960"/>
    </row>
    <row r="961" spans="17:23">
      <c r="Q961" s="275">
        <f t="shared" ref="Q961:Q1024" si="57">Q960+0.001</f>
        <v>0.89700000000000069</v>
      </c>
      <c r="R961" s="257">
        <v>1</v>
      </c>
      <c r="S961" s="533"/>
      <c r="T961"/>
      <c r="U961"/>
      <c r="V961"/>
      <c r="W961"/>
    </row>
    <row r="962" spans="17:23">
      <c r="Q962" s="275">
        <f t="shared" si="57"/>
        <v>0.89800000000000069</v>
      </c>
      <c r="R962" s="257">
        <v>1</v>
      </c>
      <c r="S962" s="533"/>
      <c r="T962"/>
      <c r="U962"/>
      <c r="V962"/>
      <c r="W962"/>
    </row>
    <row r="963" spans="17:23">
      <c r="Q963" s="275">
        <f t="shared" si="57"/>
        <v>0.89900000000000069</v>
      </c>
      <c r="R963" s="257">
        <v>1</v>
      </c>
      <c r="S963" s="533"/>
      <c r="T963"/>
      <c r="U963"/>
      <c r="V963"/>
      <c r="W963"/>
    </row>
    <row r="964" spans="17:23">
      <c r="Q964" s="275">
        <f t="shared" si="57"/>
        <v>0.90000000000000069</v>
      </c>
      <c r="R964" s="257">
        <v>1</v>
      </c>
      <c r="S964" s="533"/>
      <c r="T964"/>
      <c r="U964"/>
      <c r="V964"/>
      <c r="W964"/>
    </row>
    <row r="965" spans="17:23">
      <c r="Q965" s="275">
        <f t="shared" si="57"/>
        <v>0.90100000000000069</v>
      </c>
      <c r="R965" s="257">
        <v>1</v>
      </c>
      <c r="S965" s="533"/>
      <c r="T965"/>
      <c r="U965"/>
      <c r="V965"/>
      <c r="W965"/>
    </row>
    <row r="966" spans="17:23">
      <c r="Q966" s="275">
        <f t="shared" si="57"/>
        <v>0.90200000000000069</v>
      </c>
      <c r="R966" s="257">
        <v>1</v>
      </c>
      <c r="S966" s="533"/>
      <c r="T966"/>
      <c r="U966"/>
      <c r="V966"/>
      <c r="W966"/>
    </row>
    <row r="967" spans="17:23">
      <c r="Q967" s="275">
        <f t="shared" si="57"/>
        <v>0.90300000000000069</v>
      </c>
      <c r="R967" s="257">
        <v>1</v>
      </c>
      <c r="S967" s="533"/>
      <c r="T967"/>
      <c r="U967"/>
      <c r="V967"/>
      <c r="W967"/>
    </row>
    <row r="968" spans="17:23">
      <c r="Q968" s="275">
        <f t="shared" si="57"/>
        <v>0.90400000000000069</v>
      </c>
      <c r="R968" s="257">
        <v>1</v>
      </c>
      <c r="S968" s="533"/>
      <c r="T968"/>
      <c r="U968"/>
      <c r="V968"/>
      <c r="W968"/>
    </row>
    <row r="969" spans="17:23">
      <c r="Q969" s="275">
        <f t="shared" si="57"/>
        <v>0.90500000000000069</v>
      </c>
      <c r="R969" s="257">
        <v>1</v>
      </c>
      <c r="S969" s="533"/>
      <c r="T969"/>
      <c r="U969"/>
      <c r="V969"/>
      <c r="W969"/>
    </row>
    <row r="970" spans="17:23">
      <c r="Q970" s="275">
        <f t="shared" si="57"/>
        <v>0.90600000000000069</v>
      </c>
      <c r="R970" s="257">
        <v>1</v>
      </c>
      <c r="S970" s="533"/>
      <c r="T970"/>
      <c r="U970"/>
      <c r="V970"/>
      <c r="W970"/>
    </row>
    <row r="971" spans="17:23">
      <c r="Q971" s="275">
        <f t="shared" si="57"/>
        <v>0.90700000000000069</v>
      </c>
      <c r="R971" s="257">
        <v>1</v>
      </c>
      <c r="S971" s="533"/>
      <c r="T971"/>
      <c r="U971"/>
      <c r="V971"/>
      <c r="W971"/>
    </row>
    <row r="972" spans="17:23">
      <c r="Q972" s="275">
        <f t="shared" si="57"/>
        <v>0.9080000000000007</v>
      </c>
      <c r="R972" s="257">
        <v>1</v>
      </c>
      <c r="S972" s="533"/>
      <c r="T972"/>
      <c r="U972"/>
      <c r="V972"/>
      <c r="W972"/>
    </row>
    <row r="973" spans="17:23">
      <c r="Q973" s="275">
        <f t="shared" si="57"/>
        <v>0.9090000000000007</v>
      </c>
      <c r="R973" s="257">
        <v>1</v>
      </c>
      <c r="S973" s="533"/>
      <c r="T973"/>
      <c r="U973"/>
      <c r="V973"/>
      <c r="W973"/>
    </row>
    <row r="974" spans="17:23">
      <c r="Q974" s="275">
        <f t="shared" si="57"/>
        <v>0.9100000000000007</v>
      </c>
      <c r="R974" s="257">
        <v>1</v>
      </c>
      <c r="S974" s="533"/>
      <c r="T974"/>
      <c r="U974"/>
      <c r="V974"/>
      <c r="W974"/>
    </row>
    <row r="975" spans="17:23">
      <c r="Q975" s="275">
        <f t="shared" si="57"/>
        <v>0.9110000000000007</v>
      </c>
      <c r="R975" s="257">
        <v>1</v>
      </c>
      <c r="S975" s="533"/>
      <c r="T975"/>
      <c r="U975"/>
      <c r="V975"/>
      <c r="W975"/>
    </row>
    <row r="976" spans="17:23">
      <c r="Q976" s="275">
        <f t="shared" si="57"/>
        <v>0.9120000000000007</v>
      </c>
      <c r="R976" s="257">
        <v>1</v>
      </c>
      <c r="S976" s="533"/>
      <c r="T976"/>
      <c r="U976"/>
      <c r="V976"/>
      <c r="W976"/>
    </row>
    <row r="977" spans="17:23">
      <c r="Q977" s="275">
        <f t="shared" si="57"/>
        <v>0.9130000000000007</v>
      </c>
      <c r="R977" s="257">
        <v>1</v>
      </c>
      <c r="S977" s="533"/>
      <c r="T977"/>
      <c r="U977"/>
      <c r="V977"/>
      <c r="W977"/>
    </row>
    <row r="978" spans="17:23">
      <c r="Q978" s="275">
        <f t="shared" si="57"/>
        <v>0.9140000000000007</v>
      </c>
      <c r="R978" s="257">
        <v>1</v>
      </c>
      <c r="S978" s="533"/>
      <c r="T978"/>
      <c r="U978"/>
      <c r="V978"/>
      <c r="W978"/>
    </row>
    <row r="979" spans="17:23">
      <c r="Q979" s="275">
        <f t="shared" si="57"/>
        <v>0.9150000000000007</v>
      </c>
      <c r="R979" s="257">
        <v>1</v>
      </c>
      <c r="S979" s="533"/>
      <c r="T979"/>
      <c r="U979"/>
      <c r="V979"/>
      <c r="W979"/>
    </row>
    <row r="980" spans="17:23">
      <c r="Q980" s="275">
        <f t="shared" si="57"/>
        <v>0.9160000000000007</v>
      </c>
      <c r="R980" s="257">
        <v>1</v>
      </c>
      <c r="S980" s="533"/>
      <c r="T980"/>
      <c r="U980"/>
      <c r="V980"/>
      <c r="W980"/>
    </row>
    <row r="981" spans="17:23">
      <c r="Q981" s="275">
        <f t="shared" si="57"/>
        <v>0.9170000000000007</v>
      </c>
      <c r="R981" s="257">
        <v>1</v>
      </c>
      <c r="S981" s="533"/>
      <c r="T981"/>
      <c r="U981"/>
      <c r="V981"/>
      <c r="W981"/>
    </row>
    <row r="982" spans="17:23">
      <c r="Q982" s="275">
        <f t="shared" si="57"/>
        <v>0.9180000000000007</v>
      </c>
      <c r="R982" s="257">
        <v>1</v>
      </c>
      <c r="S982" s="533"/>
      <c r="T982"/>
      <c r="U982"/>
      <c r="V982"/>
      <c r="W982"/>
    </row>
    <row r="983" spans="17:23">
      <c r="Q983" s="275">
        <f t="shared" si="57"/>
        <v>0.91900000000000071</v>
      </c>
      <c r="R983" s="257">
        <v>1</v>
      </c>
      <c r="S983" s="533"/>
      <c r="T983"/>
      <c r="U983"/>
      <c r="V983"/>
      <c r="W983"/>
    </row>
    <row r="984" spans="17:23">
      <c r="Q984" s="275">
        <f t="shared" si="57"/>
        <v>0.92000000000000071</v>
      </c>
      <c r="R984" s="257">
        <v>1</v>
      </c>
      <c r="S984" s="533"/>
      <c r="T984"/>
      <c r="U984"/>
      <c r="V984"/>
      <c r="W984"/>
    </row>
    <row r="985" spans="17:23">
      <c r="Q985" s="275">
        <f t="shared" si="57"/>
        <v>0.92100000000000071</v>
      </c>
      <c r="R985" s="257">
        <v>1</v>
      </c>
      <c r="S985" s="533"/>
      <c r="T985"/>
      <c r="U985"/>
      <c r="V985"/>
      <c r="W985"/>
    </row>
    <row r="986" spans="17:23">
      <c r="Q986" s="275">
        <f t="shared" si="57"/>
        <v>0.92200000000000071</v>
      </c>
      <c r="R986" s="257">
        <v>1</v>
      </c>
      <c r="S986" s="533"/>
      <c r="T986"/>
      <c r="U986"/>
      <c r="V986"/>
      <c r="W986"/>
    </row>
    <row r="987" spans="17:23">
      <c r="Q987" s="275">
        <f t="shared" si="57"/>
        <v>0.92300000000000071</v>
      </c>
      <c r="R987" s="257">
        <v>1</v>
      </c>
      <c r="S987" s="533"/>
      <c r="T987"/>
      <c r="U987"/>
      <c r="V987"/>
      <c r="W987"/>
    </row>
    <row r="988" spans="17:23">
      <c r="Q988" s="275">
        <f t="shared" si="57"/>
        <v>0.92400000000000071</v>
      </c>
      <c r="R988" s="257">
        <v>1</v>
      </c>
      <c r="S988" s="533"/>
      <c r="T988"/>
      <c r="U988"/>
      <c r="V988"/>
      <c r="W988"/>
    </row>
    <row r="989" spans="17:23">
      <c r="Q989" s="275">
        <f t="shared" si="57"/>
        <v>0.92500000000000071</v>
      </c>
      <c r="R989" s="257">
        <v>1</v>
      </c>
      <c r="S989" s="533"/>
      <c r="T989"/>
      <c r="U989"/>
      <c r="V989"/>
      <c r="W989"/>
    </row>
    <row r="990" spans="17:23">
      <c r="Q990" s="275">
        <f t="shared" si="57"/>
        <v>0.92600000000000071</v>
      </c>
      <c r="R990" s="257">
        <v>1</v>
      </c>
      <c r="S990" s="533"/>
      <c r="T990"/>
      <c r="U990"/>
      <c r="V990"/>
      <c r="W990"/>
    </row>
    <row r="991" spans="17:23">
      <c r="Q991" s="275">
        <f t="shared" si="57"/>
        <v>0.92700000000000071</v>
      </c>
      <c r="R991" s="257">
        <v>1</v>
      </c>
      <c r="S991" s="533"/>
      <c r="T991"/>
      <c r="U991"/>
      <c r="V991"/>
      <c r="W991"/>
    </row>
    <row r="992" spans="17:23">
      <c r="Q992" s="275">
        <f t="shared" si="57"/>
        <v>0.92800000000000071</v>
      </c>
      <c r="R992" s="257">
        <v>1</v>
      </c>
      <c r="S992" s="533"/>
      <c r="T992"/>
      <c r="U992"/>
      <c r="V992"/>
      <c r="W992"/>
    </row>
    <row r="993" spans="17:23">
      <c r="Q993" s="275">
        <f t="shared" si="57"/>
        <v>0.92900000000000071</v>
      </c>
      <c r="R993" s="257">
        <v>1</v>
      </c>
      <c r="S993" s="533"/>
      <c r="T993"/>
      <c r="U993"/>
      <c r="V993"/>
      <c r="W993"/>
    </row>
    <row r="994" spans="17:23">
      <c r="Q994" s="275">
        <f t="shared" si="57"/>
        <v>0.93000000000000071</v>
      </c>
      <c r="R994" s="257">
        <v>1</v>
      </c>
      <c r="S994" s="533"/>
      <c r="T994"/>
      <c r="U994"/>
      <c r="V994"/>
      <c r="W994"/>
    </row>
    <row r="995" spans="17:23">
      <c r="Q995" s="275">
        <f t="shared" si="57"/>
        <v>0.93100000000000072</v>
      </c>
      <c r="R995" s="257">
        <v>1</v>
      </c>
      <c r="S995" s="533"/>
      <c r="T995"/>
      <c r="U995"/>
      <c r="V995"/>
      <c r="W995"/>
    </row>
    <row r="996" spans="17:23">
      <c r="Q996" s="275">
        <f t="shared" si="57"/>
        <v>0.93200000000000072</v>
      </c>
      <c r="R996" s="257">
        <v>1</v>
      </c>
      <c r="S996" s="533"/>
      <c r="T996"/>
      <c r="U996"/>
      <c r="V996"/>
      <c r="W996"/>
    </row>
    <row r="997" spans="17:23">
      <c r="Q997" s="275">
        <f t="shared" si="57"/>
        <v>0.93300000000000072</v>
      </c>
      <c r="R997" s="257">
        <v>1</v>
      </c>
      <c r="S997" s="533"/>
      <c r="T997"/>
      <c r="U997"/>
      <c r="V997"/>
      <c r="W997"/>
    </row>
    <row r="998" spans="17:23">
      <c r="Q998" s="275">
        <f t="shared" si="57"/>
        <v>0.93400000000000072</v>
      </c>
      <c r="R998" s="257">
        <v>1</v>
      </c>
      <c r="S998" s="533"/>
      <c r="T998"/>
      <c r="U998"/>
      <c r="V998"/>
      <c r="W998"/>
    </row>
    <row r="999" spans="17:23">
      <c r="Q999" s="275">
        <f t="shared" si="57"/>
        <v>0.93500000000000072</v>
      </c>
      <c r="R999" s="257">
        <v>1</v>
      </c>
      <c r="S999" s="533"/>
      <c r="T999"/>
      <c r="U999"/>
      <c r="V999"/>
      <c r="W999"/>
    </row>
    <row r="1000" spans="17:23">
      <c r="Q1000" s="275">
        <f t="shared" si="57"/>
        <v>0.93600000000000072</v>
      </c>
      <c r="R1000" s="257">
        <v>1</v>
      </c>
      <c r="S1000" s="533"/>
      <c r="T1000"/>
      <c r="U1000"/>
      <c r="V1000"/>
      <c r="W1000"/>
    </row>
    <row r="1001" spans="17:23">
      <c r="Q1001" s="275">
        <f t="shared" si="57"/>
        <v>0.93700000000000072</v>
      </c>
      <c r="R1001" s="257">
        <v>1</v>
      </c>
      <c r="S1001" s="533"/>
      <c r="T1001"/>
      <c r="U1001"/>
      <c r="V1001"/>
      <c r="W1001"/>
    </row>
    <row r="1002" spans="17:23">
      <c r="Q1002" s="275">
        <f t="shared" si="57"/>
        <v>0.93800000000000072</v>
      </c>
      <c r="R1002" s="257">
        <v>1</v>
      </c>
      <c r="S1002" s="533"/>
      <c r="T1002"/>
      <c r="U1002"/>
      <c r="V1002"/>
      <c r="W1002"/>
    </row>
    <row r="1003" spans="17:23">
      <c r="Q1003" s="275">
        <f t="shared" si="57"/>
        <v>0.93900000000000072</v>
      </c>
      <c r="R1003" s="257">
        <v>1</v>
      </c>
      <c r="S1003" s="533"/>
      <c r="T1003"/>
      <c r="U1003"/>
      <c r="V1003"/>
      <c r="W1003"/>
    </row>
    <row r="1004" spans="17:23">
      <c r="Q1004" s="275">
        <f t="shared" si="57"/>
        <v>0.94000000000000072</v>
      </c>
      <c r="R1004" s="257">
        <v>1</v>
      </c>
      <c r="S1004" s="533"/>
      <c r="T1004"/>
      <c r="U1004"/>
      <c r="V1004"/>
      <c r="W1004"/>
    </row>
    <row r="1005" spans="17:23">
      <c r="Q1005" s="275">
        <f t="shared" si="57"/>
        <v>0.94100000000000072</v>
      </c>
      <c r="R1005" s="257">
        <v>1</v>
      </c>
      <c r="S1005" s="533"/>
      <c r="T1005"/>
      <c r="U1005"/>
      <c r="V1005"/>
      <c r="W1005"/>
    </row>
    <row r="1006" spans="17:23">
      <c r="Q1006" s="275">
        <f t="shared" si="57"/>
        <v>0.94200000000000073</v>
      </c>
      <c r="R1006" s="257">
        <v>1</v>
      </c>
      <c r="S1006" s="533"/>
      <c r="T1006"/>
      <c r="U1006"/>
      <c r="V1006"/>
      <c r="W1006"/>
    </row>
    <row r="1007" spans="17:23">
      <c r="Q1007" s="275">
        <f t="shared" si="57"/>
        <v>0.94300000000000073</v>
      </c>
      <c r="R1007" s="257">
        <v>1</v>
      </c>
      <c r="S1007" s="533"/>
      <c r="T1007"/>
      <c r="U1007"/>
      <c r="V1007"/>
      <c r="W1007"/>
    </row>
    <row r="1008" spans="17:23">
      <c r="Q1008" s="275">
        <f t="shared" si="57"/>
        <v>0.94400000000000073</v>
      </c>
      <c r="R1008" s="257">
        <v>1</v>
      </c>
      <c r="S1008" s="533"/>
      <c r="T1008"/>
      <c r="U1008"/>
      <c r="V1008"/>
      <c r="W1008"/>
    </row>
    <row r="1009" spans="17:23">
      <c r="Q1009" s="275">
        <f t="shared" si="57"/>
        <v>0.94500000000000073</v>
      </c>
      <c r="R1009" s="257">
        <v>1</v>
      </c>
      <c r="S1009" s="533"/>
      <c r="T1009"/>
      <c r="U1009"/>
      <c r="V1009"/>
      <c r="W1009"/>
    </row>
    <row r="1010" spans="17:23">
      <c r="Q1010" s="275">
        <f t="shared" si="57"/>
        <v>0.94600000000000073</v>
      </c>
      <c r="R1010" s="257">
        <v>1</v>
      </c>
      <c r="S1010" s="533"/>
      <c r="T1010"/>
      <c r="U1010"/>
      <c r="V1010"/>
      <c r="W1010"/>
    </row>
    <row r="1011" spans="17:23">
      <c r="Q1011" s="275">
        <f t="shared" si="57"/>
        <v>0.94700000000000073</v>
      </c>
      <c r="R1011" s="257">
        <v>1</v>
      </c>
      <c r="S1011" s="533"/>
      <c r="T1011"/>
      <c r="U1011"/>
      <c r="V1011"/>
      <c r="W1011"/>
    </row>
    <row r="1012" spans="17:23">
      <c r="Q1012" s="275">
        <f t="shared" si="57"/>
        <v>0.94800000000000073</v>
      </c>
      <c r="R1012" s="257">
        <v>1</v>
      </c>
      <c r="S1012" s="533"/>
      <c r="T1012"/>
      <c r="U1012"/>
      <c r="V1012"/>
      <c r="W1012"/>
    </row>
    <row r="1013" spans="17:23">
      <c r="Q1013" s="275">
        <f t="shared" si="57"/>
        <v>0.94900000000000073</v>
      </c>
      <c r="R1013" s="257">
        <v>1</v>
      </c>
      <c r="S1013" s="533"/>
      <c r="T1013"/>
      <c r="U1013"/>
      <c r="V1013"/>
      <c r="W1013"/>
    </row>
    <row r="1014" spans="17:23">
      <c r="Q1014" s="275">
        <f t="shared" si="57"/>
        <v>0.95000000000000073</v>
      </c>
      <c r="R1014" s="257">
        <v>1</v>
      </c>
      <c r="S1014" s="533"/>
      <c r="T1014"/>
      <c r="U1014"/>
      <c r="V1014"/>
      <c r="W1014"/>
    </row>
    <row r="1015" spans="17:23">
      <c r="Q1015" s="275">
        <f t="shared" si="57"/>
        <v>0.95100000000000073</v>
      </c>
      <c r="R1015" s="257">
        <v>1</v>
      </c>
      <c r="S1015" s="533"/>
      <c r="T1015"/>
      <c r="U1015"/>
      <c r="V1015"/>
      <c r="W1015"/>
    </row>
    <row r="1016" spans="17:23">
      <c r="Q1016" s="275">
        <f t="shared" si="57"/>
        <v>0.95200000000000073</v>
      </c>
      <c r="R1016" s="257">
        <v>1</v>
      </c>
      <c r="S1016" s="533"/>
      <c r="T1016"/>
      <c r="U1016"/>
      <c r="V1016"/>
      <c r="W1016"/>
    </row>
    <row r="1017" spans="17:23">
      <c r="Q1017" s="275">
        <f t="shared" si="57"/>
        <v>0.95300000000000074</v>
      </c>
      <c r="R1017" s="257">
        <v>1</v>
      </c>
      <c r="S1017" s="533"/>
      <c r="T1017"/>
      <c r="U1017"/>
      <c r="V1017"/>
      <c r="W1017"/>
    </row>
    <row r="1018" spans="17:23">
      <c r="Q1018" s="275">
        <f t="shared" si="57"/>
        <v>0.95400000000000074</v>
      </c>
      <c r="R1018" s="257">
        <v>1</v>
      </c>
      <c r="S1018" s="533"/>
      <c r="T1018"/>
      <c r="U1018"/>
      <c r="V1018"/>
      <c r="W1018"/>
    </row>
    <row r="1019" spans="17:23">
      <c r="Q1019" s="275">
        <f t="shared" si="57"/>
        <v>0.95500000000000074</v>
      </c>
      <c r="R1019" s="257">
        <v>1</v>
      </c>
      <c r="S1019" s="533"/>
      <c r="T1019"/>
      <c r="U1019"/>
      <c r="V1019"/>
      <c r="W1019"/>
    </row>
    <row r="1020" spans="17:23">
      <c r="Q1020" s="275">
        <f t="shared" si="57"/>
        <v>0.95600000000000074</v>
      </c>
      <c r="R1020" s="257">
        <v>1</v>
      </c>
      <c r="S1020" s="533"/>
      <c r="T1020"/>
      <c r="U1020"/>
      <c r="V1020"/>
      <c r="W1020"/>
    </row>
    <row r="1021" spans="17:23">
      <c r="Q1021" s="275">
        <f t="shared" si="57"/>
        <v>0.95700000000000074</v>
      </c>
      <c r="R1021" s="257">
        <v>1</v>
      </c>
      <c r="S1021" s="533"/>
      <c r="T1021"/>
      <c r="U1021"/>
      <c r="V1021"/>
      <c r="W1021"/>
    </row>
    <row r="1022" spans="17:23">
      <c r="Q1022" s="275">
        <f t="shared" si="57"/>
        <v>0.95800000000000074</v>
      </c>
      <c r="R1022" s="257">
        <v>1</v>
      </c>
      <c r="S1022" s="533"/>
      <c r="T1022"/>
      <c r="U1022"/>
      <c r="V1022"/>
      <c r="W1022"/>
    </row>
    <row r="1023" spans="17:23">
      <c r="Q1023" s="275">
        <f t="shared" si="57"/>
        <v>0.95900000000000074</v>
      </c>
      <c r="R1023" s="257">
        <v>1</v>
      </c>
      <c r="S1023" s="533"/>
      <c r="T1023"/>
      <c r="U1023"/>
      <c r="V1023"/>
      <c r="W1023"/>
    </row>
    <row r="1024" spans="17:23">
      <c r="Q1024" s="275">
        <f t="shared" si="57"/>
        <v>0.96000000000000074</v>
      </c>
      <c r="R1024" s="257">
        <v>1</v>
      </c>
      <c r="S1024" s="533"/>
      <c r="T1024"/>
      <c r="U1024"/>
      <c r="V1024"/>
      <c r="W1024"/>
    </row>
    <row r="1025" spans="17:23">
      <c r="Q1025" s="275">
        <f t="shared" ref="Q1025:Q1088" si="58">Q1024+0.001</f>
        <v>0.96100000000000074</v>
      </c>
      <c r="R1025" s="257">
        <v>1</v>
      </c>
      <c r="S1025" s="533"/>
      <c r="T1025"/>
      <c r="U1025"/>
      <c r="V1025"/>
      <c r="W1025"/>
    </row>
    <row r="1026" spans="17:23">
      <c r="Q1026" s="275">
        <f t="shared" si="58"/>
        <v>0.96200000000000074</v>
      </c>
      <c r="R1026" s="257">
        <v>1</v>
      </c>
      <c r="S1026" s="533"/>
      <c r="T1026"/>
      <c r="U1026"/>
      <c r="V1026"/>
      <c r="W1026"/>
    </row>
    <row r="1027" spans="17:23">
      <c r="Q1027" s="275">
        <f t="shared" si="58"/>
        <v>0.96300000000000074</v>
      </c>
      <c r="R1027" s="257">
        <v>1</v>
      </c>
      <c r="S1027" s="533"/>
      <c r="T1027"/>
      <c r="U1027"/>
      <c r="V1027"/>
      <c r="W1027"/>
    </row>
    <row r="1028" spans="17:23">
      <c r="Q1028" s="275">
        <f t="shared" si="58"/>
        <v>0.96400000000000075</v>
      </c>
      <c r="R1028" s="257">
        <v>1</v>
      </c>
      <c r="S1028" s="533"/>
      <c r="T1028"/>
      <c r="U1028"/>
      <c r="V1028"/>
      <c r="W1028"/>
    </row>
    <row r="1029" spans="17:23">
      <c r="Q1029" s="275">
        <f t="shared" si="58"/>
        <v>0.96500000000000075</v>
      </c>
      <c r="R1029" s="257">
        <v>1</v>
      </c>
      <c r="S1029" s="533"/>
      <c r="T1029"/>
      <c r="U1029"/>
      <c r="V1029"/>
      <c r="W1029"/>
    </row>
    <row r="1030" spans="17:23">
      <c r="Q1030" s="275">
        <f t="shared" si="58"/>
        <v>0.96600000000000075</v>
      </c>
      <c r="R1030" s="257">
        <v>1</v>
      </c>
      <c r="S1030" s="533"/>
      <c r="T1030"/>
      <c r="U1030"/>
      <c r="V1030"/>
      <c r="W1030"/>
    </row>
    <row r="1031" spans="17:23">
      <c r="Q1031" s="275">
        <f t="shared" si="58"/>
        <v>0.96700000000000075</v>
      </c>
      <c r="R1031" s="257">
        <v>1</v>
      </c>
      <c r="S1031" s="533"/>
      <c r="T1031"/>
      <c r="U1031"/>
      <c r="V1031"/>
      <c r="W1031"/>
    </row>
    <row r="1032" spans="17:23">
      <c r="Q1032" s="275">
        <f t="shared" si="58"/>
        <v>0.96800000000000075</v>
      </c>
      <c r="R1032" s="257">
        <v>1</v>
      </c>
      <c r="S1032" s="533"/>
      <c r="T1032"/>
      <c r="U1032"/>
      <c r="V1032"/>
      <c r="W1032"/>
    </row>
    <row r="1033" spans="17:23">
      <c r="Q1033" s="275">
        <f t="shared" si="58"/>
        <v>0.96900000000000075</v>
      </c>
      <c r="R1033" s="257">
        <v>1</v>
      </c>
      <c r="S1033" s="533"/>
      <c r="T1033"/>
      <c r="U1033"/>
      <c r="V1033"/>
      <c r="W1033"/>
    </row>
    <row r="1034" spans="17:23">
      <c r="Q1034" s="275">
        <f t="shared" si="58"/>
        <v>0.97000000000000075</v>
      </c>
      <c r="R1034" s="257">
        <v>1</v>
      </c>
      <c r="S1034" s="533"/>
      <c r="T1034"/>
      <c r="U1034"/>
      <c r="V1034"/>
      <c r="W1034"/>
    </row>
    <row r="1035" spans="17:23">
      <c r="Q1035" s="275">
        <f t="shared" si="58"/>
        <v>0.97100000000000075</v>
      </c>
      <c r="R1035" s="257">
        <v>1</v>
      </c>
      <c r="S1035" s="533"/>
      <c r="T1035"/>
      <c r="U1035"/>
      <c r="V1035"/>
      <c r="W1035"/>
    </row>
    <row r="1036" spans="17:23">
      <c r="Q1036" s="275">
        <f t="shared" si="58"/>
        <v>0.97200000000000075</v>
      </c>
      <c r="R1036" s="257">
        <v>1</v>
      </c>
      <c r="S1036" s="533"/>
      <c r="T1036"/>
      <c r="U1036"/>
      <c r="V1036"/>
      <c r="W1036"/>
    </row>
    <row r="1037" spans="17:23">
      <c r="Q1037" s="275">
        <f t="shared" si="58"/>
        <v>0.97300000000000075</v>
      </c>
      <c r="R1037" s="257">
        <v>1</v>
      </c>
      <c r="S1037" s="533"/>
      <c r="T1037"/>
      <c r="U1037"/>
      <c r="V1037"/>
      <c r="W1037"/>
    </row>
    <row r="1038" spans="17:23">
      <c r="Q1038" s="275">
        <f t="shared" si="58"/>
        <v>0.97400000000000075</v>
      </c>
      <c r="R1038" s="276">
        <v>1.125</v>
      </c>
      <c r="S1038" s="533"/>
      <c r="T1038"/>
      <c r="U1038"/>
      <c r="V1038"/>
      <c r="W1038"/>
    </row>
    <row r="1039" spans="17:23">
      <c r="Q1039" s="275">
        <f t="shared" si="58"/>
        <v>0.97500000000000075</v>
      </c>
      <c r="R1039" s="276">
        <v>1.125</v>
      </c>
      <c r="S1039" s="533"/>
      <c r="T1039"/>
      <c r="U1039"/>
      <c r="V1039"/>
      <c r="W1039"/>
    </row>
    <row r="1040" spans="17:23">
      <c r="Q1040" s="275">
        <f t="shared" si="58"/>
        <v>0.97600000000000076</v>
      </c>
      <c r="R1040" s="276">
        <v>1.125</v>
      </c>
      <c r="S1040" s="533"/>
      <c r="T1040"/>
      <c r="U1040"/>
      <c r="V1040"/>
      <c r="W1040"/>
    </row>
    <row r="1041" spans="17:23">
      <c r="Q1041" s="275">
        <f t="shared" si="58"/>
        <v>0.97700000000000076</v>
      </c>
      <c r="R1041" s="276">
        <v>1.125</v>
      </c>
      <c r="S1041" s="533"/>
      <c r="T1041"/>
      <c r="U1041"/>
      <c r="V1041"/>
      <c r="W1041"/>
    </row>
    <row r="1042" spans="17:23">
      <c r="Q1042" s="275">
        <f t="shared" si="58"/>
        <v>0.97800000000000076</v>
      </c>
      <c r="R1042" s="276">
        <v>1.125</v>
      </c>
      <c r="S1042" s="533"/>
      <c r="T1042"/>
      <c r="U1042"/>
      <c r="V1042"/>
      <c r="W1042"/>
    </row>
    <row r="1043" spans="17:23">
      <c r="Q1043" s="275">
        <f t="shared" si="58"/>
        <v>0.97900000000000076</v>
      </c>
      <c r="R1043" s="276">
        <v>1.125</v>
      </c>
      <c r="S1043" s="533"/>
      <c r="T1043"/>
      <c r="U1043"/>
      <c r="V1043"/>
      <c r="W1043"/>
    </row>
    <row r="1044" spans="17:23">
      <c r="Q1044" s="275">
        <f t="shared" si="58"/>
        <v>0.98000000000000076</v>
      </c>
      <c r="R1044" s="276">
        <v>1.125</v>
      </c>
      <c r="S1044" s="533"/>
      <c r="T1044"/>
      <c r="U1044"/>
      <c r="V1044"/>
      <c r="W1044"/>
    </row>
    <row r="1045" spans="17:23">
      <c r="Q1045" s="275">
        <f t="shared" si="58"/>
        <v>0.98100000000000076</v>
      </c>
      <c r="R1045" s="276">
        <v>1.125</v>
      </c>
      <c r="S1045" s="533"/>
      <c r="T1045"/>
      <c r="U1045"/>
      <c r="V1045"/>
      <c r="W1045"/>
    </row>
    <row r="1046" spans="17:23">
      <c r="Q1046" s="275">
        <f t="shared" si="58"/>
        <v>0.98200000000000076</v>
      </c>
      <c r="R1046" s="276">
        <v>1.125</v>
      </c>
      <c r="S1046" s="533"/>
      <c r="T1046"/>
      <c r="U1046"/>
      <c r="V1046"/>
      <c r="W1046"/>
    </row>
    <row r="1047" spans="17:23">
      <c r="Q1047" s="275">
        <f t="shared" si="58"/>
        <v>0.98300000000000076</v>
      </c>
      <c r="R1047" s="276">
        <v>1.125</v>
      </c>
      <c r="S1047" s="533"/>
      <c r="T1047"/>
      <c r="U1047"/>
      <c r="V1047"/>
      <c r="W1047"/>
    </row>
    <row r="1048" spans="17:23">
      <c r="Q1048" s="275">
        <f t="shared" si="58"/>
        <v>0.98400000000000076</v>
      </c>
      <c r="R1048" s="276">
        <v>1.125</v>
      </c>
      <c r="S1048" s="533"/>
      <c r="T1048"/>
      <c r="U1048"/>
      <c r="V1048"/>
      <c r="W1048"/>
    </row>
    <row r="1049" spans="17:23">
      <c r="Q1049" s="275">
        <f t="shared" si="58"/>
        <v>0.98500000000000076</v>
      </c>
      <c r="R1049" s="276">
        <v>1.125</v>
      </c>
      <c r="S1049" s="533"/>
      <c r="T1049"/>
      <c r="U1049"/>
      <c r="V1049"/>
      <c r="W1049"/>
    </row>
    <row r="1050" spans="17:23">
      <c r="Q1050" s="275">
        <f t="shared" si="58"/>
        <v>0.98600000000000076</v>
      </c>
      <c r="R1050" s="276">
        <v>1.125</v>
      </c>
      <c r="S1050" s="533"/>
      <c r="T1050"/>
      <c r="U1050"/>
      <c r="V1050"/>
      <c r="W1050"/>
    </row>
    <row r="1051" spans="17:23">
      <c r="Q1051" s="275">
        <f t="shared" si="58"/>
        <v>0.98700000000000077</v>
      </c>
      <c r="R1051" s="276">
        <v>1.125</v>
      </c>
      <c r="S1051" s="533"/>
      <c r="T1051"/>
      <c r="U1051"/>
      <c r="V1051"/>
      <c r="W1051"/>
    </row>
    <row r="1052" spans="17:23">
      <c r="Q1052" s="275">
        <f t="shared" si="58"/>
        <v>0.98800000000000077</v>
      </c>
      <c r="R1052" s="276">
        <v>1.125</v>
      </c>
      <c r="S1052" s="533"/>
      <c r="T1052"/>
      <c r="U1052"/>
      <c r="V1052"/>
      <c r="W1052"/>
    </row>
    <row r="1053" spans="17:23">
      <c r="Q1053" s="275">
        <f t="shared" si="58"/>
        <v>0.98900000000000077</v>
      </c>
      <c r="R1053" s="276">
        <v>1.125</v>
      </c>
      <c r="S1053" s="533"/>
      <c r="T1053"/>
      <c r="U1053"/>
      <c r="V1053"/>
      <c r="W1053"/>
    </row>
    <row r="1054" spans="17:23">
      <c r="Q1054" s="275">
        <f t="shared" si="58"/>
        <v>0.99000000000000077</v>
      </c>
      <c r="R1054" s="276">
        <v>1.125</v>
      </c>
      <c r="S1054" s="533"/>
      <c r="T1054"/>
      <c r="U1054"/>
      <c r="V1054"/>
      <c r="W1054"/>
    </row>
    <row r="1055" spans="17:23">
      <c r="Q1055" s="275">
        <f t="shared" si="58"/>
        <v>0.99100000000000077</v>
      </c>
      <c r="R1055" s="276">
        <v>1.125</v>
      </c>
      <c r="S1055" s="533"/>
      <c r="T1055"/>
      <c r="U1055"/>
      <c r="V1055"/>
      <c r="W1055"/>
    </row>
    <row r="1056" spans="17:23">
      <c r="Q1056" s="275">
        <f t="shared" si="58"/>
        <v>0.99200000000000077</v>
      </c>
      <c r="R1056" s="276">
        <v>1.125</v>
      </c>
      <c r="S1056" s="533"/>
      <c r="T1056"/>
      <c r="U1056"/>
      <c r="V1056"/>
      <c r="W1056"/>
    </row>
    <row r="1057" spans="17:23">
      <c r="Q1057" s="275">
        <f t="shared" si="58"/>
        <v>0.99300000000000077</v>
      </c>
      <c r="R1057" s="276">
        <v>1.125</v>
      </c>
      <c r="S1057" s="533"/>
      <c r="T1057"/>
      <c r="U1057"/>
      <c r="V1057"/>
      <c r="W1057"/>
    </row>
    <row r="1058" spans="17:23">
      <c r="Q1058" s="275">
        <f t="shared" si="58"/>
        <v>0.99400000000000077</v>
      </c>
      <c r="R1058" s="276">
        <v>1.125</v>
      </c>
      <c r="S1058" s="533"/>
      <c r="T1058"/>
      <c r="U1058"/>
      <c r="V1058"/>
      <c r="W1058"/>
    </row>
    <row r="1059" spans="17:23">
      <c r="Q1059" s="275">
        <f t="shared" si="58"/>
        <v>0.99500000000000077</v>
      </c>
      <c r="R1059" s="276">
        <v>1.125</v>
      </c>
      <c r="S1059" s="533"/>
      <c r="T1059"/>
      <c r="U1059"/>
      <c r="V1059"/>
      <c r="W1059"/>
    </row>
    <row r="1060" spans="17:23">
      <c r="Q1060" s="275">
        <f t="shared" si="58"/>
        <v>0.99600000000000077</v>
      </c>
      <c r="R1060" s="276">
        <v>1.125</v>
      </c>
      <c r="S1060" s="533"/>
      <c r="T1060"/>
      <c r="U1060"/>
      <c r="V1060"/>
      <c r="W1060"/>
    </row>
    <row r="1061" spans="17:23">
      <c r="Q1061" s="275">
        <f t="shared" si="58"/>
        <v>0.99700000000000077</v>
      </c>
      <c r="R1061" s="276">
        <v>1.125</v>
      </c>
      <c r="S1061" s="533"/>
      <c r="T1061"/>
      <c r="U1061"/>
      <c r="V1061"/>
      <c r="W1061"/>
    </row>
    <row r="1062" spans="17:23">
      <c r="Q1062" s="275">
        <f t="shared" si="58"/>
        <v>0.99800000000000078</v>
      </c>
      <c r="R1062" s="276">
        <v>1.125</v>
      </c>
      <c r="S1062" s="533"/>
      <c r="T1062"/>
      <c r="U1062"/>
      <c r="V1062"/>
      <c r="W1062"/>
    </row>
    <row r="1063" spans="17:23">
      <c r="Q1063" s="275">
        <f t="shared" si="58"/>
        <v>0.99900000000000078</v>
      </c>
      <c r="R1063" s="276">
        <v>1.125</v>
      </c>
      <c r="S1063" s="533"/>
      <c r="T1063"/>
      <c r="U1063"/>
      <c r="V1063"/>
      <c r="W1063"/>
    </row>
    <row r="1064" spans="17:23">
      <c r="Q1064" s="275">
        <f t="shared" si="58"/>
        <v>1.0000000000000007</v>
      </c>
      <c r="R1064" s="276">
        <v>1.125</v>
      </c>
      <c r="S1064" s="533"/>
      <c r="T1064"/>
      <c r="U1064"/>
      <c r="V1064"/>
      <c r="W1064"/>
    </row>
    <row r="1065" spans="17:23">
      <c r="Q1065" s="275">
        <f t="shared" si="58"/>
        <v>1.0010000000000006</v>
      </c>
      <c r="R1065" s="276">
        <v>1.125</v>
      </c>
      <c r="S1065" s="533"/>
      <c r="T1065"/>
      <c r="U1065"/>
      <c r="V1065"/>
      <c r="W1065"/>
    </row>
    <row r="1066" spans="17:23">
      <c r="Q1066" s="275">
        <f t="shared" si="58"/>
        <v>1.0020000000000004</v>
      </c>
      <c r="R1066" s="276">
        <v>1.125</v>
      </c>
      <c r="S1066" s="533"/>
      <c r="T1066"/>
      <c r="U1066"/>
      <c r="V1066"/>
      <c r="W1066"/>
    </row>
    <row r="1067" spans="17:23">
      <c r="Q1067" s="275">
        <f t="shared" si="58"/>
        <v>1.0030000000000003</v>
      </c>
      <c r="R1067" s="276">
        <v>1.125</v>
      </c>
      <c r="S1067" s="533"/>
      <c r="T1067"/>
      <c r="U1067"/>
      <c r="V1067"/>
      <c r="W1067"/>
    </row>
    <row r="1068" spans="17:23">
      <c r="Q1068" s="275">
        <f t="shared" si="58"/>
        <v>1.0040000000000002</v>
      </c>
      <c r="R1068" s="276">
        <v>1.125</v>
      </c>
      <c r="S1068" s="533"/>
      <c r="T1068"/>
      <c r="U1068"/>
      <c r="V1068"/>
      <c r="W1068"/>
    </row>
    <row r="1069" spans="17:23">
      <c r="Q1069" s="275">
        <f t="shared" si="58"/>
        <v>1.0050000000000001</v>
      </c>
      <c r="R1069" s="276">
        <v>1.125</v>
      </c>
      <c r="S1069" s="533"/>
      <c r="T1069"/>
      <c r="U1069"/>
      <c r="V1069"/>
      <c r="W1069"/>
    </row>
    <row r="1070" spans="17:23">
      <c r="Q1070" s="275">
        <f t="shared" si="58"/>
        <v>1.006</v>
      </c>
      <c r="R1070" s="276">
        <v>1.125</v>
      </c>
      <c r="S1070" s="533"/>
      <c r="T1070"/>
      <c r="U1070"/>
      <c r="V1070"/>
      <c r="W1070"/>
    </row>
    <row r="1071" spans="17:23">
      <c r="Q1071" s="275">
        <f t="shared" si="58"/>
        <v>1.0069999999999999</v>
      </c>
      <c r="R1071" s="276">
        <v>1.125</v>
      </c>
      <c r="S1071" s="533"/>
      <c r="T1071"/>
      <c r="U1071"/>
      <c r="V1071"/>
      <c r="W1071"/>
    </row>
    <row r="1072" spans="17:23">
      <c r="Q1072" s="275">
        <f t="shared" si="58"/>
        <v>1.0079999999999998</v>
      </c>
      <c r="R1072" s="276">
        <v>1.125</v>
      </c>
      <c r="S1072" s="533"/>
      <c r="T1072"/>
      <c r="U1072"/>
      <c r="V1072"/>
      <c r="W1072"/>
    </row>
    <row r="1073" spans="17:23">
      <c r="Q1073" s="275">
        <f t="shared" si="58"/>
        <v>1.0089999999999997</v>
      </c>
      <c r="R1073" s="276">
        <v>1.125</v>
      </c>
      <c r="S1073" s="533"/>
      <c r="T1073"/>
      <c r="U1073"/>
      <c r="V1073"/>
      <c r="W1073"/>
    </row>
    <row r="1074" spans="17:23">
      <c r="Q1074" s="275">
        <f t="shared" si="58"/>
        <v>1.0099999999999996</v>
      </c>
      <c r="R1074" s="276">
        <v>1.125</v>
      </c>
      <c r="S1074" s="533"/>
      <c r="T1074"/>
      <c r="U1074"/>
      <c r="V1074"/>
      <c r="W1074"/>
    </row>
    <row r="1075" spans="17:23">
      <c r="Q1075" s="275">
        <f t="shared" si="58"/>
        <v>1.0109999999999995</v>
      </c>
      <c r="R1075" s="276">
        <v>1.125</v>
      </c>
      <c r="S1075" s="533"/>
      <c r="T1075"/>
      <c r="U1075"/>
      <c r="V1075"/>
      <c r="W1075"/>
    </row>
    <row r="1076" spans="17:23">
      <c r="Q1076" s="275">
        <f t="shared" si="58"/>
        <v>1.0119999999999993</v>
      </c>
      <c r="R1076" s="276">
        <v>1.125</v>
      </c>
      <c r="S1076" s="533"/>
      <c r="T1076"/>
      <c r="U1076"/>
      <c r="V1076"/>
      <c r="W1076"/>
    </row>
    <row r="1077" spans="17:23">
      <c r="Q1077" s="275">
        <f t="shared" si="58"/>
        <v>1.0129999999999992</v>
      </c>
      <c r="R1077" s="276">
        <v>1.125</v>
      </c>
      <c r="S1077" s="533"/>
      <c r="T1077"/>
      <c r="U1077"/>
      <c r="V1077"/>
      <c r="W1077"/>
    </row>
    <row r="1078" spans="17:23">
      <c r="Q1078" s="275">
        <f t="shared" si="58"/>
        <v>1.0139999999999991</v>
      </c>
      <c r="R1078" s="276">
        <v>1.125</v>
      </c>
      <c r="S1078" s="533"/>
      <c r="T1078"/>
      <c r="U1078"/>
      <c r="V1078"/>
      <c r="W1078"/>
    </row>
    <row r="1079" spans="17:23">
      <c r="Q1079" s="275">
        <f t="shared" si="58"/>
        <v>1.014999999999999</v>
      </c>
      <c r="R1079" s="276">
        <v>1.125</v>
      </c>
      <c r="S1079" s="533"/>
      <c r="T1079"/>
      <c r="U1079"/>
      <c r="V1079"/>
      <c r="W1079"/>
    </row>
    <row r="1080" spans="17:23">
      <c r="Q1080" s="275">
        <f t="shared" si="58"/>
        <v>1.0159999999999989</v>
      </c>
      <c r="R1080" s="276">
        <v>1.125</v>
      </c>
      <c r="S1080" s="533"/>
      <c r="T1080"/>
      <c r="U1080"/>
      <c r="V1080"/>
      <c r="W1080"/>
    </row>
    <row r="1081" spans="17:23">
      <c r="Q1081" s="275">
        <f t="shared" si="58"/>
        <v>1.0169999999999988</v>
      </c>
      <c r="R1081" s="276">
        <v>1.125</v>
      </c>
      <c r="S1081" s="533"/>
      <c r="T1081"/>
      <c r="U1081"/>
      <c r="V1081"/>
      <c r="W1081"/>
    </row>
    <row r="1082" spans="17:23">
      <c r="Q1082" s="275">
        <f t="shared" si="58"/>
        <v>1.0179999999999987</v>
      </c>
      <c r="R1082" s="276">
        <v>1.125</v>
      </c>
      <c r="S1082" s="533"/>
      <c r="T1082"/>
      <c r="U1082"/>
      <c r="V1082"/>
      <c r="W1082"/>
    </row>
    <row r="1083" spans="17:23">
      <c r="Q1083" s="275">
        <f t="shared" si="58"/>
        <v>1.0189999999999986</v>
      </c>
      <c r="R1083" s="276">
        <v>1.125</v>
      </c>
      <c r="S1083" s="533"/>
      <c r="T1083"/>
      <c r="U1083"/>
      <c r="V1083"/>
      <c r="W1083"/>
    </row>
    <row r="1084" spans="17:23">
      <c r="Q1084" s="275">
        <f t="shared" si="58"/>
        <v>1.0199999999999985</v>
      </c>
      <c r="R1084" s="276">
        <v>1.125</v>
      </c>
      <c r="S1084" s="533"/>
      <c r="T1084"/>
      <c r="U1084"/>
      <c r="V1084"/>
      <c r="W1084"/>
    </row>
    <row r="1085" spans="17:23">
      <c r="Q1085" s="275">
        <f t="shared" si="58"/>
        <v>1.0209999999999984</v>
      </c>
      <c r="R1085" s="276">
        <v>1.125</v>
      </c>
      <c r="S1085" s="533"/>
      <c r="T1085"/>
      <c r="U1085"/>
      <c r="V1085"/>
      <c r="W1085"/>
    </row>
    <row r="1086" spans="17:23">
      <c r="Q1086" s="275">
        <f t="shared" si="58"/>
        <v>1.0219999999999982</v>
      </c>
      <c r="R1086" s="276">
        <v>1.125</v>
      </c>
      <c r="S1086" s="533"/>
      <c r="T1086"/>
      <c r="U1086"/>
      <c r="V1086"/>
      <c r="W1086"/>
    </row>
    <row r="1087" spans="17:23">
      <c r="Q1087" s="275">
        <f t="shared" si="58"/>
        <v>1.0229999999999981</v>
      </c>
      <c r="R1087" s="276">
        <v>1.125</v>
      </c>
      <c r="S1087" s="533"/>
      <c r="T1087"/>
      <c r="U1087"/>
      <c r="V1087"/>
      <c r="W1087"/>
    </row>
    <row r="1088" spans="17:23">
      <c r="Q1088" s="275">
        <f t="shared" si="58"/>
        <v>1.023999999999998</v>
      </c>
      <c r="R1088" s="276">
        <v>1.125</v>
      </c>
      <c r="S1088" s="533"/>
      <c r="T1088"/>
      <c r="U1088"/>
      <c r="V1088"/>
      <c r="W1088"/>
    </row>
    <row r="1089" spans="17:23">
      <c r="Q1089" s="275">
        <f t="shared" ref="Q1089:Q1152" si="59">Q1088+0.001</f>
        <v>1.0249999999999979</v>
      </c>
      <c r="R1089" s="276">
        <v>1.125</v>
      </c>
      <c r="S1089" s="533"/>
      <c r="T1089"/>
      <c r="U1089"/>
      <c r="V1089"/>
      <c r="W1089"/>
    </row>
    <row r="1090" spans="17:23">
      <c r="Q1090" s="275">
        <f t="shared" si="59"/>
        <v>1.0259999999999978</v>
      </c>
      <c r="R1090" s="276">
        <v>1.125</v>
      </c>
      <c r="S1090" s="533"/>
      <c r="T1090"/>
      <c r="U1090"/>
      <c r="V1090"/>
      <c r="W1090"/>
    </row>
    <row r="1091" spans="17:23">
      <c r="Q1091" s="275">
        <f t="shared" si="59"/>
        <v>1.0269999999999977</v>
      </c>
      <c r="R1091" s="276">
        <v>1.125</v>
      </c>
      <c r="S1091" s="533"/>
      <c r="T1091"/>
      <c r="U1091"/>
      <c r="V1091"/>
      <c r="W1091"/>
    </row>
    <row r="1092" spans="17:23">
      <c r="Q1092" s="275">
        <f t="shared" si="59"/>
        <v>1.0279999999999976</v>
      </c>
      <c r="R1092" s="276">
        <v>1.125</v>
      </c>
      <c r="S1092" s="533"/>
      <c r="T1092"/>
      <c r="U1092"/>
      <c r="V1092"/>
      <c r="W1092"/>
    </row>
    <row r="1093" spans="17:23">
      <c r="Q1093" s="275">
        <f t="shared" si="59"/>
        <v>1.0289999999999975</v>
      </c>
      <c r="R1093" s="276">
        <v>1.125</v>
      </c>
      <c r="S1093" s="533"/>
      <c r="T1093"/>
      <c r="U1093"/>
      <c r="V1093"/>
      <c r="W1093"/>
    </row>
    <row r="1094" spans="17:23">
      <c r="Q1094" s="275">
        <f t="shared" si="59"/>
        <v>1.0299999999999974</v>
      </c>
      <c r="R1094" s="276">
        <v>1.125</v>
      </c>
      <c r="S1094" s="533"/>
      <c r="T1094"/>
      <c r="U1094"/>
      <c r="V1094"/>
      <c r="W1094"/>
    </row>
    <row r="1095" spans="17:23">
      <c r="Q1095" s="275">
        <f t="shared" si="59"/>
        <v>1.0309999999999973</v>
      </c>
      <c r="R1095" s="276">
        <v>1.125</v>
      </c>
      <c r="S1095" s="533"/>
      <c r="T1095"/>
      <c r="U1095"/>
      <c r="V1095"/>
      <c r="W1095"/>
    </row>
    <row r="1096" spans="17:23">
      <c r="Q1096" s="275">
        <f t="shared" si="59"/>
        <v>1.0319999999999971</v>
      </c>
      <c r="R1096" s="276">
        <v>1.125</v>
      </c>
      <c r="S1096" s="533"/>
      <c r="T1096"/>
      <c r="U1096"/>
      <c r="V1096"/>
      <c r="W1096"/>
    </row>
    <row r="1097" spans="17:23">
      <c r="Q1097" s="275">
        <f t="shared" si="59"/>
        <v>1.032999999999997</v>
      </c>
      <c r="R1097" s="276">
        <v>1.125</v>
      </c>
      <c r="S1097" s="533"/>
      <c r="T1097"/>
      <c r="U1097"/>
      <c r="V1097"/>
      <c r="W1097"/>
    </row>
    <row r="1098" spans="17:23">
      <c r="Q1098" s="275">
        <f t="shared" si="59"/>
        <v>1.0339999999999969</v>
      </c>
      <c r="R1098" s="276">
        <v>1.125</v>
      </c>
      <c r="S1098" s="533"/>
      <c r="T1098"/>
      <c r="U1098"/>
      <c r="V1098"/>
      <c r="W1098"/>
    </row>
    <row r="1099" spans="17:23">
      <c r="Q1099" s="275">
        <f t="shared" si="59"/>
        <v>1.0349999999999968</v>
      </c>
      <c r="R1099" s="276">
        <v>1.125</v>
      </c>
      <c r="S1099" s="533"/>
      <c r="T1099"/>
      <c r="U1099"/>
      <c r="V1099"/>
      <c r="W1099"/>
    </row>
    <row r="1100" spans="17:23">
      <c r="Q1100" s="275">
        <f t="shared" si="59"/>
        <v>1.0359999999999967</v>
      </c>
      <c r="R1100" s="276">
        <v>1.125</v>
      </c>
      <c r="S1100" s="533"/>
      <c r="T1100"/>
      <c r="U1100"/>
      <c r="V1100"/>
      <c r="W1100"/>
    </row>
    <row r="1101" spans="17:23">
      <c r="Q1101" s="275">
        <f t="shared" si="59"/>
        <v>1.0369999999999966</v>
      </c>
      <c r="R1101" s="276">
        <v>1.125</v>
      </c>
      <c r="S1101" s="533"/>
      <c r="T1101"/>
      <c r="U1101"/>
      <c r="V1101"/>
      <c r="W1101"/>
    </row>
    <row r="1102" spans="17:23">
      <c r="Q1102" s="275">
        <f t="shared" si="59"/>
        <v>1.0379999999999965</v>
      </c>
      <c r="R1102" s="276">
        <v>1.125</v>
      </c>
      <c r="S1102" s="533"/>
      <c r="T1102"/>
      <c r="U1102"/>
      <c r="V1102"/>
      <c r="W1102"/>
    </row>
    <row r="1103" spans="17:23">
      <c r="Q1103" s="275">
        <f t="shared" si="59"/>
        <v>1.0389999999999964</v>
      </c>
      <c r="R1103" s="276">
        <v>1.125</v>
      </c>
      <c r="S1103" s="533"/>
      <c r="T1103"/>
      <c r="U1103"/>
      <c r="V1103"/>
      <c r="W1103"/>
    </row>
    <row r="1104" spans="17:23">
      <c r="Q1104" s="275">
        <f t="shared" si="59"/>
        <v>1.0399999999999963</v>
      </c>
      <c r="R1104" s="276">
        <v>1.125</v>
      </c>
      <c r="S1104" s="533"/>
      <c r="T1104"/>
      <c r="U1104"/>
      <c r="V1104"/>
      <c r="W1104"/>
    </row>
    <row r="1105" spans="17:23">
      <c r="Q1105" s="275">
        <f t="shared" si="59"/>
        <v>1.0409999999999962</v>
      </c>
      <c r="R1105" s="276">
        <v>1.125</v>
      </c>
      <c r="S1105" s="533"/>
      <c r="T1105"/>
      <c r="U1105"/>
      <c r="V1105"/>
      <c r="W1105"/>
    </row>
    <row r="1106" spans="17:23">
      <c r="Q1106" s="275">
        <f t="shared" si="59"/>
        <v>1.041999999999996</v>
      </c>
      <c r="R1106" s="276">
        <v>1.125</v>
      </c>
      <c r="S1106" s="533"/>
      <c r="T1106"/>
      <c r="U1106"/>
      <c r="V1106"/>
      <c r="W1106"/>
    </row>
    <row r="1107" spans="17:23">
      <c r="Q1107" s="275">
        <f t="shared" si="59"/>
        <v>1.0429999999999959</v>
      </c>
      <c r="R1107" s="276">
        <v>1.125</v>
      </c>
      <c r="S1107" s="533"/>
      <c r="T1107"/>
      <c r="U1107"/>
      <c r="V1107"/>
      <c r="W1107"/>
    </row>
    <row r="1108" spans="17:23">
      <c r="Q1108" s="275">
        <f t="shared" si="59"/>
        <v>1.0439999999999958</v>
      </c>
      <c r="R1108" s="276">
        <v>1.125</v>
      </c>
      <c r="S1108" s="533"/>
      <c r="T1108"/>
      <c r="U1108"/>
      <c r="V1108"/>
      <c r="W1108"/>
    </row>
    <row r="1109" spans="17:23">
      <c r="Q1109" s="275">
        <f t="shared" si="59"/>
        <v>1.0449999999999957</v>
      </c>
      <c r="R1109" s="276">
        <v>1.125</v>
      </c>
      <c r="S1109" s="533"/>
      <c r="T1109"/>
      <c r="U1109"/>
      <c r="V1109"/>
      <c r="W1109"/>
    </row>
    <row r="1110" spans="17:23">
      <c r="Q1110" s="275">
        <f t="shared" si="59"/>
        <v>1.0459999999999956</v>
      </c>
      <c r="R1110" s="276">
        <v>1.125</v>
      </c>
      <c r="S1110" s="533"/>
      <c r="T1110"/>
      <c r="U1110"/>
      <c r="V1110"/>
      <c r="W1110"/>
    </row>
    <row r="1111" spans="17:23">
      <c r="Q1111" s="275">
        <f t="shared" si="59"/>
        <v>1.0469999999999955</v>
      </c>
      <c r="R1111" s="276">
        <v>1.125</v>
      </c>
      <c r="S1111" s="533"/>
      <c r="T1111"/>
      <c r="U1111"/>
      <c r="V1111"/>
      <c r="W1111"/>
    </row>
    <row r="1112" spans="17:23">
      <c r="Q1112" s="275">
        <f t="shared" si="59"/>
        <v>1.0479999999999954</v>
      </c>
      <c r="R1112" s="276">
        <v>1.125</v>
      </c>
      <c r="S1112" s="533"/>
      <c r="T1112"/>
      <c r="U1112"/>
      <c r="V1112"/>
      <c r="W1112"/>
    </row>
    <row r="1113" spans="17:23">
      <c r="Q1113" s="275">
        <f t="shared" si="59"/>
        <v>1.0489999999999953</v>
      </c>
      <c r="R1113" s="276">
        <v>1.125</v>
      </c>
      <c r="S1113" s="533"/>
      <c r="T1113"/>
      <c r="U1113"/>
      <c r="V1113"/>
      <c r="W1113"/>
    </row>
    <row r="1114" spans="17:23">
      <c r="Q1114" s="275">
        <f t="shared" si="59"/>
        <v>1.0499999999999952</v>
      </c>
      <c r="R1114" s="276">
        <v>1.125</v>
      </c>
      <c r="S1114" s="533"/>
      <c r="T1114"/>
      <c r="U1114"/>
      <c r="V1114"/>
      <c r="W1114"/>
    </row>
    <row r="1115" spans="17:23">
      <c r="Q1115" s="275">
        <f t="shared" si="59"/>
        <v>1.050999999999995</v>
      </c>
      <c r="R1115" s="276">
        <v>1.125</v>
      </c>
      <c r="S1115" s="533"/>
      <c r="T1115"/>
      <c r="U1115"/>
      <c r="V1115"/>
      <c r="W1115"/>
    </row>
    <row r="1116" spans="17:23">
      <c r="Q1116" s="275">
        <f t="shared" si="59"/>
        <v>1.0519999999999949</v>
      </c>
      <c r="R1116" s="276">
        <v>1.125</v>
      </c>
      <c r="S1116" s="533"/>
      <c r="T1116"/>
      <c r="U1116"/>
      <c r="V1116"/>
      <c r="W1116"/>
    </row>
    <row r="1117" spans="17:23">
      <c r="Q1117" s="275">
        <f t="shared" si="59"/>
        <v>1.0529999999999948</v>
      </c>
      <c r="R1117" s="276">
        <v>1.125</v>
      </c>
      <c r="S1117" s="533"/>
      <c r="T1117"/>
      <c r="U1117"/>
      <c r="V1117"/>
      <c r="W1117"/>
    </row>
    <row r="1118" spans="17:23">
      <c r="Q1118" s="275">
        <f t="shared" si="59"/>
        <v>1.0539999999999947</v>
      </c>
      <c r="R1118" s="276">
        <v>1.125</v>
      </c>
      <c r="S1118" s="533"/>
      <c r="T1118"/>
      <c r="U1118"/>
      <c r="V1118"/>
      <c r="W1118"/>
    </row>
    <row r="1119" spans="17:23">
      <c r="Q1119" s="275">
        <f t="shared" si="59"/>
        <v>1.0549999999999946</v>
      </c>
      <c r="R1119" s="276">
        <v>1.125</v>
      </c>
      <c r="S1119" s="533"/>
      <c r="T1119"/>
      <c r="U1119"/>
      <c r="V1119"/>
      <c r="W1119"/>
    </row>
    <row r="1120" spans="17:23">
      <c r="Q1120" s="275">
        <f t="shared" si="59"/>
        <v>1.0559999999999945</v>
      </c>
      <c r="R1120" s="276">
        <v>1.125</v>
      </c>
      <c r="S1120" s="533"/>
      <c r="T1120"/>
      <c r="U1120"/>
      <c r="V1120"/>
      <c r="W1120"/>
    </row>
    <row r="1121" spans="17:23">
      <c r="Q1121" s="275">
        <f t="shared" si="59"/>
        <v>1.0569999999999944</v>
      </c>
      <c r="R1121" s="276">
        <v>1.125</v>
      </c>
      <c r="S1121" s="533"/>
      <c r="T1121"/>
      <c r="U1121"/>
      <c r="V1121"/>
      <c r="W1121"/>
    </row>
    <row r="1122" spans="17:23">
      <c r="Q1122" s="275">
        <f t="shared" si="59"/>
        <v>1.0579999999999943</v>
      </c>
      <c r="R1122" s="276">
        <v>1.125</v>
      </c>
      <c r="S1122" s="533"/>
      <c r="T1122"/>
      <c r="U1122"/>
      <c r="V1122"/>
      <c r="W1122"/>
    </row>
    <row r="1123" spans="17:23">
      <c r="Q1123" s="275">
        <f t="shared" si="59"/>
        <v>1.0589999999999942</v>
      </c>
      <c r="R1123" s="276">
        <v>1.125</v>
      </c>
      <c r="S1123" s="533"/>
      <c r="T1123"/>
      <c r="U1123"/>
      <c r="V1123"/>
      <c r="W1123"/>
    </row>
    <row r="1124" spans="17:23">
      <c r="Q1124" s="275">
        <f t="shared" si="59"/>
        <v>1.0599999999999941</v>
      </c>
      <c r="R1124" s="276">
        <v>1.125</v>
      </c>
      <c r="S1124" s="533"/>
      <c r="T1124"/>
      <c r="U1124"/>
      <c r="V1124"/>
      <c r="W1124"/>
    </row>
    <row r="1125" spans="17:23">
      <c r="Q1125" s="275">
        <f t="shared" si="59"/>
        <v>1.0609999999999939</v>
      </c>
      <c r="R1125" s="276">
        <v>1.125</v>
      </c>
      <c r="S1125" s="533"/>
      <c r="T1125"/>
      <c r="U1125"/>
      <c r="V1125"/>
      <c r="W1125"/>
    </row>
    <row r="1126" spans="17:23">
      <c r="Q1126" s="275">
        <f t="shared" si="59"/>
        <v>1.0619999999999938</v>
      </c>
      <c r="R1126" s="276">
        <v>1.125</v>
      </c>
      <c r="S1126" s="533"/>
      <c r="T1126"/>
      <c r="U1126"/>
      <c r="V1126"/>
      <c r="W1126"/>
    </row>
    <row r="1127" spans="17:23">
      <c r="Q1127" s="275">
        <f t="shared" si="59"/>
        <v>1.0629999999999937</v>
      </c>
      <c r="R1127" s="276">
        <v>1.125</v>
      </c>
      <c r="S1127" s="533"/>
      <c r="T1127"/>
      <c r="U1127"/>
      <c r="V1127"/>
      <c r="W1127"/>
    </row>
    <row r="1128" spans="17:23">
      <c r="Q1128" s="275">
        <f t="shared" si="59"/>
        <v>1.0639999999999936</v>
      </c>
      <c r="R1128" s="276">
        <v>1.125</v>
      </c>
      <c r="S1128" s="533"/>
      <c r="T1128"/>
      <c r="U1128"/>
      <c r="V1128"/>
      <c r="W1128"/>
    </row>
    <row r="1129" spans="17:23">
      <c r="Q1129" s="275">
        <f t="shared" si="59"/>
        <v>1.0649999999999935</v>
      </c>
      <c r="R1129" s="276">
        <v>1.125</v>
      </c>
      <c r="S1129" s="533"/>
      <c r="T1129"/>
      <c r="U1129"/>
      <c r="V1129"/>
      <c r="W1129"/>
    </row>
    <row r="1130" spans="17:23">
      <c r="Q1130" s="275">
        <f t="shared" si="59"/>
        <v>1.0659999999999934</v>
      </c>
      <c r="R1130" s="276">
        <v>1.125</v>
      </c>
      <c r="S1130" s="533"/>
      <c r="T1130"/>
      <c r="U1130"/>
      <c r="V1130"/>
      <c r="W1130"/>
    </row>
    <row r="1131" spans="17:23">
      <c r="Q1131" s="275">
        <f t="shared" si="59"/>
        <v>1.0669999999999933</v>
      </c>
      <c r="R1131" s="276">
        <v>1.125</v>
      </c>
      <c r="S1131" s="533"/>
      <c r="T1131"/>
      <c r="U1131"/>
      <c r="V1131"/>
      <c r="W1131"/>
    </row>
    <row r="1132" spans="17:23">
      <c r="Q1132" s="275">
        <f t="shared" si="59"/>
        <v>1.0679999999999932</v>
      </c>
      <c r="R1132" s="276">
        <v>1.125</v>
      </c>
      <c r="S1132" s="533"/>
      <c r="T1132"/>
      <c r="U1132"/>
      <c r="V1132"/>
      <c r="W1132"/>
    </row>
    <row r="1133" spans="17:23">
      <c r="Q1133" s="275">
        <f t="shared" si="59"/>
        <v>1.0689999999999931</v>
      </c>
      <c r="R1133" s="276">
        <v>1.125</v>
      </c>
      <c r="S1133" s="533"/>
      <c r="T1133"/>
      <c r="U1133"/>
      <c r="V1133"/>
      <c r="W1133"/>
    </row>
    <row r="1134" spans="17:23">
      <c r="Q1134" s="275">
        <f t="shared" si="59"/>
        <v>1.069999999999993</v>
      </c>
      <c r="R1134" s="276">
        <v>1.125</v>
      </c>
      <c r="S1134" s="533"/>
      <c r="T1134"/>
      <c r="U1134"/>
      <c r="V1134"/>
      <c r="W1134"/>
    </row>
    <row r="1135" spans="17:23">
      <c r="Q1135" s="275">
        <f t="shared" si="59"/>
        <v>1.0709999999999928</v>
      </c>
      <c r="R1135" s="276">
        <v>1.125</v>
      </c>
      <c r="S1135" s="533"/>
      <c r="T1135"/>
      <c r="U1135"/>
      <c r="V1135"/>
      <c r="W1135"/>
    </row>
    <row r="1136" spans="17:23">
      <c r="Q1136" s="275">
        <f t="shared" si="59"/>
        <v>1.0719999999999927</v>
      </c>
      <c r="R1136" s="276">
        <v>1.125</v>
      </c>
      <c r="S1136" s="533"/>
      <c r="T1136"/>
      <c r="U1136"/>
      <c r="V1136"/>
      <c r="W1136"/>
    </row>
    <row r="1137" spans="17:23">
      <c r="Q1137" s="275">
        <f t="shared" si="59"/>
        <v>1.0729999999999926</v>
      </c>
      <c r="R1137" s="276">
        <v>1.125</v>
      </c>
      <c r="S1137" s="533"/>
      <c r="T1137"/>
      <c r="U1137"/>
      <c r="V1137"/>
      <c r="W1137"/>
    </row>
    <row r="1138" spans="17:23">
      <c r="Q1138" s="275">
        <f t="shared" si="59"/>
        <v>1.0739999999999925</v>
      </c>
      <c r="R1138" s="276">
        <v>1.125</v>
      </c>
      <c r="S1138" s="533"/>
      <c r="T1138"/>
      <c r="U1138"/>
      <c r="V1138"/>
      <c r="W1138"/>
    </row>
    <row r="1139" spans="17:23">
      <c r="Q1139" s="275">
        <f t="shared" si="59"/>
        <v>1.0749999999999924</v>
      </c>
      <c r="R1139" s="276">
        <v>1.125</v>
      </c>
      <c r="S1139" s="533"/>
      <c r="T1139"/>
      <c r="U1139"/>
      <c r="V1139"/>
      <c r="W1139"/>
    </row>
    <row r="1140" spans="17:23">
      <c r="Q1140" s="275">
        <f t="shared" si="59"/>
        <v>1.0759999999999923</v>
      </c>
      <c r="R1140" s="276">
        <v>1.125</v>
      </c>
      <c r="S1140" s="533"/>
      <c r="T1140"/>
      <c r="U1140"/>
      <c r="V1140"/>
      <c r="W1140"/>
    </row>
    <row r="1141" spans="17:23">
      <c r="Q1141" s="275">
        <f t="shared" si="59"/>
        <v>1.0769999999999922</v>
      </c>
      <c r="R1141" s="276">
        <v>1.125</v>
      </c>
      <c r="S1141" s="533"/>
      <c r="T1141"/>
      <c r="U1141"/>
      <c r="V1141"/>
      <c r="W1141"/>
    </row>
    <row r="1142" spans="17:23">
      <c r="Q1142" s="275">
        <f t="shared" si="59"/>
        <v>1.0779999999999921</v>
      </c>
      <c r="R1142" s="276">
        <v>1.125</v>
      </c>
      <c r="S1142" s="533"/>
      <c r="T1142"/>
      <c r="U1142"/>
      <c r="V1142"/>
      <c r="W1142"/>
    </row>
    <row r="1143" spans="17:23">
      <c r="Q1143" s="275">
        <f t="shared" si="59"/>
        <v>1.078999999999992</v>
      </c>
      <c r="R1143" s="276">
        <v>1.125</v>
      </c>
      <c r="S1143" s="533"/>
      <c r="T1143"/>
      <c r="U1143"/>
      <c r="V1143"/>
      <c r="W1143"/>
    </row>
    <row r="1144" spans="17:23">
      <c r="Q1144" s="275">
        <f t="shared" si="59"/>
        <v>1.0799999999999919</v>
      </c>
      <c r="R1144" s="276">
        <v>1.125</v>
      </c>
      <c r="S1144" s="533"/>
      <c r="T1144"/>
      <c r="U1144"/>
      <c r="V1144"/>
      <c r="W1144"/>
    </row>
    <row r="1145" spans="17:23">
      <c r="Q1145" s="275">
        <f t="shared" si="59"/>
        <v>1.0809999999999917</v>
      </c>
      <c r="R1145" s="276">
        <v>1.125</v>
      </c>
      <c r="S1145" s="533"/>
      <c r="T1145"/>
      <c r="U1145"/>
      <c r="V1145"/>
      <c r="W1145"/>
    </row>
    <row r="1146" spans="17:23">
      <c r="Q1146" s="275">
        <f t="shared" si="59"/>
        <v>1.0819999999999916</v>
      </c>
      <c r="R1146" s="276">
        <v>1.125</v>
      </c>
      <c r="S1146" s="533"/>
      <c r="T1146"/>
      <c r="U1146"/>
      <c r="V1146"/>
      <c r="W1146"/>
    </row>
    <row r="1147" spans="17:23">
      <c r="Q1147" s="275">
        <f t="shared" si="59"/>
        <v>1.0829999999999915</v>
      </c>
      <c r="R1147" s="276">
        <v>1.125</v>
      </c>
      <c r="S1147" s="533"/>
      <c r="T1147"/>
      <c r="U1147"/>
      <c r="V1147"/>
      <c r="W1147"/>
    </row>
    <row r="1148" spans="17:23">
      <c r="Q1148" s="275">
        <f t="shared" si="59"/>
        <v>1.0839999999999914</v>
      </c>
      <c r="R1148" s="276">
        <v>1.125</v>
      </c>
      <c r="S1148" s="533"/>
      <c r="T1148"/>
      <c r="U1148"/>
      <c r="V1148"/>
      <c r="W1148"/>
    </row>
    <row r="1149" spans="17:23">
      <c r="Q1149" s="275">
        <f t="shared" si="59"/>
        <v>1.0849999999999913</v>
      </c>
      <c r="R1149" s="276">
        <v>1.125</v>
      </c>
      <c r="S1149" s="533"/>
      <c r="T1149"/>
      <c r="U1149"/>
      <c r="V1149"/>
      <c r="W1149"/>
    </row>
    <row r="1150" spans="17:23">
      <c r="Q1150" s="275">
        <f t="shared" si="59"/>
        <v>1.0859999999999912</v>
      </c>
      <c r="R1150" s="276">
        <v>1.125</v>
      </c>
      <c r="S1150" s="533"/>
      <c r="T1150"/>
      <c r="U1150"/>
      <c r="V1150"/>
      <c r="W1150"/>
    </row>
    <row r="1151" spans="17:23">
      <c r="Q1151" s="275">
        <f t="shared" si="59"/>
        <v>1.0869999999999911</v>
      </c>
      <c r="R1151" s="276">
        <v>1.125</v>
      </c>
      <c r="S1151" s="533"/>
      <c r="T1151"/>
      <c r="U1151"/>
      <c r="V1151"/>
      <c r="W1151"/>
    </row>
    <row r="1152" spans="17:23">
      <c r="Q1152" s="275">
        <f t="shared" si="59"/>
        <v>1.087999999999991</v>
      </c>
      <c r="R1152" s="276">
        <v>1.125</v>
      </c>
      <c r="S1152" s="533"/>
      <c r="T1152"/>
      <c r="U1152"/>
      <c r="V1152"/>
      <c r="W1152"/>
    </row>
    <row r="1153" spans="17:23">
      <c r="Q1153" s="275">
        <f t="shared" ref="Q1153:Q1216" si="60">Q1152+0.001</f>
        <v>1.0889999999999909</v>
      </c>
      <c r="R1153" s="276">
        <v>1.125</v>
      </c>
      <c r="S1153" s="533"/>
      <c r="T1153"/>
      <c r="U1153"/>
      <c r="V1153"/>
      <c r="W1153"/>
    </row>
    <row r="1154" spans="17:23">
      <c r="Q1154" s="275">
        <f t="shared" si="60"/>
        <v>1.0899999999999908</v>
      </c>
      <c r="R1154" s="276">
        <v>1.125</v>
      </c>
      <c r="S1154" s="533"/>
      <c r="T1154"/>
      <c r="U1154"/>
      <c r="V1154"/>
      <c r="W1154"/>
    </row>
    <row r="1155" spans="17:23">
      <c r="Q1155" s="275">
        <f t="shared" si="60"/>
        <v>1.0909999999999906</v>
      </c>
      <c r="R1155" s="276">
        <v>1.125</v>
      </c>
      <c r="S1155" s="533"/>
      <c r="T1155"/>
      <c r="U1155"/>
      <c r="V1155"/>
      <c r="W1155"/>
    </row>
    <row r="1156" spans="17:23">
      <c r="Q1156" s="275">
        <f t="shared" si="60"/>
        <v>1.0919999999999905</v>
      </c>
      <c r="R1156" s="276">
        <v>1.125</v>
      </c>
      <c r="S1156" s="533"/>
      <c r="T1156"/>
      <c r="U1156"/>
      <c r="V1156"/>
      <c r="W1156"/>
    </row>
    <row r="1157" spans="17:23">
      <c r="Q1157" s="275">
        <f t="shared" si="60"/>
        <v>1.0929999999999904</v>
      </c>
      <c r="R1157" s="276">
        <v>1.125</v>
      </c>
      <c r="S1157" s="533"/>
      <c r="T1157"/>
      <c r="U1157"/>
      <c r="V1157"/>
      <c r="W1157"/>
    </row>
    <row r="1158" spans="17:23">
      <c r="Q1158" s="275">
        <f t="shared" si="60"/>
        <v>1.0939999999999903</v>
      </c>
      <c r="R1158" s="276">
        <v>1.125</v>
      </c>
      <c r="S1158" s="533"/>
      <c r="T1158"/>
      <c r="U1158"/>
      <c r="V1158"/>
      <c r="W1158"/>
    </row>
    <row r="1159" spans="17:23">
      <c r="Q1159" s="275">
        <f t="shared" si="60"/>
        <v>1.0949999999999902</v>
      </c>
      <c r="R1159" s="276">
        <v>1.125</v>
      </c>
      <c r="S1159" s="533"/>
      <c r="T1159"/>
      <c r="U1159"/>
      <c r="V1159"/>
      <c r="W1159"/>
    </row>
    <row r="1160" spans="17:23">
      <c r="Q1160" s="275">
        <f t="shared" si="60"/>
        <v>1.0959999999999901</v>
      </c>
      <c r="R1160" s="276">
        <v>1.125</v>
      </c>
      <c r="S1160" s="533"/>
      <c r="T1160"/>
      <c r="U1160"/>
      <c r="V1160"/>
      <c r="W1160"/>
    </row>
    <row r="1161" spans="17:23">
      <c r="Q1161" s="275">
        <f t="shared" si="60"/>
        <v>1.09699999999999</v>
      </c>
      <c r="R1161" s="276">
        <v>1.125</v>
      </c>
      <c r="S1161" s="533"/>
      <c r="T1161"/>
      <c r="U1161"/>
      <c r="V1161"/>
      <c r="W1161"/>
    </row>
    <row r="1162" spans="17:23">
      <c r="Q1162" s="275">
        <f t="shared" si="60"/>
        <v>1.0979999999999899</v>
      </c>
      <c r="R1162" s="276">
        <v>1.125</v>
      </c>
      <c r="S1162" s="533"/>
      <c r="T1162"/>
      <c r="U1162"/>
      <c r="V1162"/>
      <c r="W1162"/>
    </row>
    <row r="1163" spans="17:23">
      <c r="Q1163" s="275">
        <f t="shared" si="60"/>
        <v>1.0989999999999898</v>
      </c>
      <c r="R1163" s="276">
        <v>1.125</v>
      </c>
      <c r="S1163" s="533"/>
      <c r="T1163"/>
      <c r="U1163"/>
      <c r="V1163"/>
      <c r="W1163"/>
    </row>
    <row r="1164" spans="17:23">
      <c r="Q1164" s="275">
        <f t="shared" si="60"/>
        <v>1.0999999999999897</v>
      </c>
      <c r="R1164" s="276">
        <v>1.125</v>
      </c>
      <c r="S1164" s="533"/>
      <c r="T1164"/>
      <c r="U1164"/>
      <c r="V1164"/>
      <c r="W1164"/>
    </row>
    <row r="1165" spans="17:23">
      <c r="Q1165" s="275">
        <f t="shared" si="60"/>
        <v>1.1009999999999895</v>
      </c>
      <c r="R1165" s="276">
        <v>1.125</v>
      </c>
      <c r="S1165" s="533"/>
      <c r="T1165"/>
      <c r="U1165"/>
      <c r="V1165"/>
      <c r="W1165"/>
    </row>
    <row r="1166" spans="17:23">
      <c r="Q1166" s="275">
        <f t="shared" si="60"/>
        <v>1.1019999999999894</v>
      </c>
      <c r="R1166" s="276">
        <v>1.125</v>
      </c>
      <c r="S1166" s="533"/>
      <c r="T1166"/>
      <c r="U1166"/>
      <c r="V1166"/>
      <c r="W1166"/>
    </row>
    <row r="1167" spans="17:23">
      <c r="Q1167" s="275">
        <f t="shared" si="60"/>
        <v>1.1029999999999893</v>
      </c>
      <c r="R1167" s="276">
        <v>1.125</v>
      </c>
      <c r="S1167" s="533"/>
      <c r="T1167"/>
      <c r="U1167"/>
      <c r="V1167"/>
      <c r="W1167"/>
    </row>
    <row r="1168" spans="17:23">
      <c r="Q1168" s="275">
        <f t="shared" si="60"/>
        <v>1.1039999999999892</v>
      </c>
      <c r="R1168" s="276">
        <v>1.125</v>
      </c>
      <c r="S1168" s="533"/>
      <c r="T1168"/>
      <c r="U1168"/>
      <c r="V1168"/>
      <c r="W1168"/>
    </row>
    <row r="1169" spans="17:23">
      <c r="Q1169" s="275">
        <f t="shared" si="60"/>
        <v>1.1049999999999891</v>
      </c>
      <c r="R1169" s="276">
        <v>1.125</v>
      </c>
      <c r="S1169" s="533"/>
      <c r="T1169"/>
      <c r="U1169"/>
      <c r="V1169"/>
      <c r="W1169"/>
    </row>
    <row r="1170" spans="17:23">
      <c r="Q1170" s="275">
        <f t="shared" si="60"/>
        <v>1.105999999999989</v>
      </c>
      <c r="R1170" s="276">
        <v>1.125</v>
      </c>
      <c r="S1170" s="533"/>
      <c r="T1170"/>
      <c r="U1170"/>
      <c r="V1170"/>
      <c r="W1170"/>
    </row>
    <row r="1171" spans="17:23">
      <c r="Q1171" s="275">
        <f t="shared" si="60"/>
        <v>1.1069999999999889</v>
      </c>
      <c r="R1171" s="276">
        <v>1.125</v>
      </c>
      <c r="S1171" s="533"/>
      <c r="T1171"/>
      <c r="U1171"/>
      <c r="V1171"/>
      <c r="W1171"/>
    </row>
    <row r="1172" spans="17:23">
      <c r="Q1172" s="275">
        <f t="shared" si="60"/>
        <v>1.1079999999999888</v>
      </c>
      <c r="R1172" s="276">
        <v>1.125</v>
      </c>
      <c r="S1172" s="533"/>
      <c r="T1172"/>
      <c r="U1172"/>
      <c r="V1172"/>
      <c r="W1172"/>
    </row>
    <row r="1173" spans="17:23">
      <c r="Q1173" s="275">
        <f t="shared" si="60"/>
        <v>1.1089999999999887</v>
      </c>
      <c r="R1173" s="276">
        <v>1.125</v>
      </c>
      <c r="S1173" s="533"/>
      <c r="T1173"/>
      <c r="U1173"/>
      <c r="V1173"/>
      <c r="W1173"/>
    </row>
    <row r="1174" spans="17:23">
      <c r="Q1174" s="275">
        <f t="shared" si="60"/>
        <v>1.1099999999999886</v>
      </c>
      <c r="R1174" s="276">
        <v>1.125</v>
      </c>
      <c r="S1174" s="533"/>
      <c r="T1174"/>
      <c r="U1174"/>
      <c r="V1174"/>
      <c r="W1174"/>
    </row>
    <row r="1175" spans="17:23">
      <c r="Q1175" s="275">
        <f t="shared" si="60"/>
        <v>1.1109999999999884</v>
      </c>
      <c r="R1175" s="276">
        <v>1.125</v>
      </c>
      <c r="S1175" s="533"/>
      <c r="T1175"/>
      <c r="U1175"/>
      <c r="V1175"/>
      <c r="W1175"/>
    </row>
    <row r="1176" spans="17:23">
      <c r="Q1176" s="275">
        <f t="shared" si="60"/>
        <v>1.1119999999999883</v>
      </c>
      <c r="R1176" s="276">
        <v>1.125</v>
      </c>
      <c r="S1176" s="533"/>
      <c r="T1176"/>
      <c r="U1176"/>
      <c r="V1176"/>
      <c r="W1176"/>
    </row>
    <row r="1177" spans="17:23">
      <c r="Q1177" s="275">
        <f t="shared" si="60"/>
        <v>1.1129999999999882</v>
      </c>
      <c r="R1177" s="276">
        <v>1.125</v>
      </c>
      <c r="S1177" s="533"/>
      <c r="T1177"/>
      <c r="U1177"/>
      <c r="V1177"/>
      <c r="W1177"/>
    </row>
    <row r="1178" spans="17:23">
      <c r="Q1178" s="275">
        <f t="shared" si="60"/>
        <v>1.1139999999999881</v>
      </c>
      <c r="R1178" s="276">
        <v>1.125</v>
      </c>
      <c r="S1178" s="533"/>
      <c r="T1178"/>
      <c r="U1178"/>
      <c r="V1178"/>
      <c r="W1178"/>
    </row>
    <row r="1179" spans="17:23">
      <c r="Q1179" s="275">
        <f t="shared" si="60"/>
        <v>1.114999999999988</v>
      </c>
      <c r="R1179" s="276">
        <v>1.125</v>
      </c>
      <c r="S1179" s="533"/>
      <c r="T1179"/>
      <c r="U1179"/>
      <c r="V1179"/>
      <c r="W1179"/>
    </row>
    <row r="1180" spans="17:23">
      <c r="Q1180" s="275">
        <f t="shared" si="60"/>
        <v>1.1159999999999879</v>
      </c>
      <c r="R1180" s="276">
        <v>1.125</v>
      </c>
      <c r="S1180" s="533"/>
      <c r="T1180"/>
      <c r="U1180"/>
      <c r="V1180"/>
      <c r="W1180"/>
    </row>
    <row r="1181" spans="17:23">
      <c r="Q1181" s="275">
        <f t="shared" si="60"/>
        <v>1.1169999999999878</v>
      </c>
      <c r="R1181" s="276">
        <v>1.125</v>
      </c>
      <c r="S1181" s="533"/>
      <c r="T1181"/>
      <c r="U1181"/>
      <c r="V1181"/>
      <c r="W1181"/>
    </row>
    <row r="1182" spans="17:23">
      <c r="Q1182" s="275">
        <f t="shared" si="60"/>
        <v>1.1179999999999877</v>
      </c>
      <c r="R1182" s="276">
        <v>1.125</v>
      </c>
      <c r="S1182" s="533"/>
      <c r="T1182"/>
      <c r="U1182"/>
      <c r="V1182"/>
      <c r="W1182"/>
    </row>
    <row r="1183" spans="17:23">
      <c r="Q1183" s="275">
        <f t="shared" si="60"/>
        <v>1.1189999999999876</v>
      </c>
      <c r="R1183" s="276">
        <v>1.125</v>
      </c>
      <c r="S1183" s="533"/>
      <c r="T1183"/>
      <c r="U1183"/>
      <c r="V1183"/>
      <c r="W1183"/>
    </row>
    <row r="1184" spans="17:23">
      <c r="Q1184" s="275">
        <f t="shared" si="60"/>
        <v>1.1199999999999875</v>
      </c>
      <c r="R1184" s="276">
        <v>1.125</v>
      </c>
      <c r="S1184" s="533"/>
      <c r="T1184"/>
      <c r="U1184"/>
      <c r="V1184"/>
      <c r="W1184"/>
    </row>
    <row r="1185" spans="17:23">
      <c r="Q1185" s="275">
        <f t="shared" si="60"/>
        <v>1.1209999999999873</v>
      </c>
      <c r="R1185" s="276">
        <v>1.125</v>
      </c>
      <c r="S1185" s="533"/>
      <c r="T1185"/>
      <c r="U1185"/>
      <c r="V1185"/>
      <c r="W1185"/>
    </row>
    <row r="1186" spans="17:23">
      <c r="Q1186" s="275">
        <f t="shared" si="60"/>
        <v>1.1219999999999872</v>
      </c>
      <c r="R1186" s="276">
        <v>1.125</v>
      </c>
      <c r="S1186" s="533"/>
      <c r="T1186"/>
      <c r="U1186"/>
      <c r="V1186"/>
      <c r="W1186"/>
    </row>
    <row r="1187" spans="17:23">
      <c r="Q1187" s="275">
        <f t="shared" si="60"/>
        <v>1.1229999999999871</v>
      </c>
      <c r="R1187" s="276">
        <v>1.125</v>
      </c>
      <c r="S1187" s="533"/>
      <c r="T1187"/>
      <c r="U1187"/>
      <c r="V1187"/>
      <c r="W1187"/>
    </row>
    <row r="1188" spans="17:23">
      <c r="Q1188" s="275">
        <f t="shared" si="60"/>
        <v>1.123999999999987</v>
      </c>
      <c r="R1188" s="276">
        <v>1.125</v>
      </c>
      <c r="S1188" s="533"/>
      <c r="T1188"/>
      <c r="U1188"/>
      <c r="V1188"/>
      <c r="W1188"/>
    </row>
    <row r="1189" spans="17:23">
      <c r="Q1189" s="275">
        <f t="shared" si="60"/>
        <v>1.1249999999999869</v>
      </c>
      <c r="R1189" s="276">
        <v>1.125</v>
      </c>
      <c r="S1189" s="533"/>
      <c r="T1189"/>
      <c r="U1189"/>
      <c r="V1189"/>
      <c r="W1189"/>
    </row>
    <row r="1190" spans="17:23">
      <c r="Q1190" s="275">
        <f t="shared" si="60"/>
        <v>1.1259999999999868</v>
      </c>
      <c r="R1190" s="276">
        <v>1.125</v>
      </c>
      <c r="S1190" s="533"/>
      <c r="T1190"/>
      <c r="U1190"/>
      <c r="V1190"/>
      <c r="W1190"/>
    </row>
    <row r="1191" spans="17:23">
      <c r="Q1191" s="275">
        <f t="shared" si="60"/>
        <v>1.1269999999999867</v>
      </c>
      <c r="R1191" s="276">
        <v>1.125</v>
      </c>
      <c r="S1191" s="533"/>
      <c r="T1191"/>
      <c r="U1191"/>
      <c r="V1191"/>
      <c r="W1191"/>
    </row>
    <row r="1192" spans="17:23">
      <c r="Q1192" s="275">
        <f t="shared" si="60"/>
        <v>1.1279999999999866</v>
      </c>
      <c r="R1192" s="276">
        <v>1.125</v>
      </c>
      <c r="S1192" s="533"/>
      <c r="T1192"/>
      <c r="U1192"/>
      <c r="V1192"/>
      <c r="W1192"/>
    </row>
    <row r="1193" spans="17:23">
      <c r="Q1193" s="275">
        <f t="shared" si="60"/>
        <v>1.1289999999999865</v>
      </c>
      <c r="R1193" s="276">
        <v>1.125</v>
      </c>
      <c r="S1193" s="533"/>
      <c r="T1193"/>
      <c r="U1193"/>
      <c r="V1193"/>
      <c r="W1193"/>
    </row>
    <row r="1194" spans="17:23">
      <c r="Q1194" s="275">
        <f t="shared" si="60"/>
        <v>1.1299999999999863</v>
      </c>
      <c r="R1194" s="276">
        <v>1.125</v>
      </c>
      <c r="S1194" s="533"/>
      <c r="T1194"/>
      <c r="U1194"/>
      <c r="V1194"/>
      <c r="W1194"/>
    </row>
    <row r="1195" spans="17:23">
      <c r="Q1195" s="275">
        <f t="shared" si="60"/>
        <v>1.1309999999999862</v>
      </c>
      <c r="R1195" s="276">
        <v>1.125</v>
      </c>
      <c r="S1195" s="533"/>
      <c r="T1195"/>
      <c r="U1195"/>
      <c r="V1195"/>
      <c r="W1195"/>
    </row>
    <row r="1196" spans="17:23">
      <c r="Q1196" s="275">
        <f t="shared" si="60"/>
        <v>1.1319999999999861</v>
      </c>
      <c r="R1196" s="276">
        <v>1.125</v>
      </c>
      <c r="S1196" s="533"/>
      <c r="T1196"/>
      <c r="U1196"/>
      <c r="V1196"/>
      <c r="W1196"/>
    </row>
    <row r="1197" spans="17:23">
      <c r="Q1197" s="275">
        <f t="shared" si="60"/>
        <v>1.132999999999986</v>
      </c>
      <c r="R1197" s="276">
        <v>1.125</v>
      </c>
      <c r="S1197" s="533"/>
      <c r="T1197"/>
      <c r="U1197"/>
      <c r="V1197"/>
      <c r="W1197"/>
    </row>
    <row r="1198" spans="17:23">
      <c r="Q1198" s="275">
        <f t="shared" si="60"/>
        <v>1.1339999999999859</v>
      </c>
      <c r="R1198" s="276">
        <v>1.125</v>
      </c>
      <c r="S1198" s="533"/>
      <c r="T1198"/>
      <c r="U1198"/>
      <c r="V1198"/>
      <c r="W1198"/>
    </row>
    <row r="1199" spans="17:23">
      <c r="Q1199" s="275">
        <f t="shared" si="60"/>
        <v>1.1349999999999858</v>
      </c>
      <c r="R1199" s="276">
        <v>1.125</v>
      </c>
      <c r="S1199" s="533"/>
      <c r="T1199"/>
      <c r="U1199"/>
      <c r="V1199"/>
      <c r="W1199"/>
    </row>
    <row r="1200" spans="17:23">
      <c r="Q1200" s="275">
        <f t="shared" si="60"/>
        <v>1.1359999999999857</v>
      </c>
      <c r="R1200" s="276">
        <v>1.125</v>
      </c>
      <c r="S1200" s="533"/>
      <c r="T1200"/>
      <c r="U1200"/>
      <c r="V1200"/>
      <c r="W1200"/>
    </row>
    <row r="1201" spans="17:23">
      <c r="Q1201" s="275">
        <f t="shared" si="60"/>
        <v>1.1369999999999856</v>
      </c>
      <c r="R1201" s="276">
        <v>1.125</v>
      </c>
      <c r="S1201" s="533"/>
      <c r="T1201"/>
      <c r="U1201"/>
      <c r="V1201"/>
      <c r="W1201"/>
    </row>
    <row r="1202" spans="17:23">
      <c r="Q1202" s="275">
        <f t="shared" si="60"/>
        <v>1.1379999999999855</v>
      </c>
      <c r="R1202" s="276">
        <v>1.125</v>
      </c>
      <c r="S1202" s="533"/>
      <c r="T1202"/>
      <c r="U1202"/>
      <c r="V1202"/>
      <c r="W1202"/>
    </row>
    <row r="1203" spans="17:23">
      <c r="Q1203" s="275">
        <f t="shared" si="60"/>
        <v>1.1389999999999854</v>
      </c>
      <c r="R1203" s="276">
        <v>1.125</v>
      </c>
      <c r="S1203" s="533"/>
      <c r="T1203"/>
      <c r="U1203"/>
      <c r="V1203"/>
      <c r="W1203"/>
    </row>
    <row r="1204" spans="17:23">
      <c r="Q1204" s="275">
        <f t="shared" si="60"/>
        <v>1.1399999999999852</v>
      </c>
      <c r="R1204" s="276">
        <v>1.125</v>
      </c>
      <c r="S1204" s="533"/>
      <c r="T1204"/>
      <c r="U1204"/>
      <c r="V1204"/>
      <c r="W1204"/>
    </row>
    <row r="1205" spans="17:23">
      <c r="Q1205" s="275">
        <f t="shared" si="60"/>
        <v>1.1409999999999851</v>
      </c>
      <c r="R1205" s="276">
        <v>1.125</v>
      </c>
      <c r="S1205" s="533"/>
      <c r="T1205"/>
      <c r="U1205"/>
      <c r="V1205"/>
      <c r="W1205"/>
    </row>
    <row r="1206" spans="17:23">
      <c r="Q1206" s="275">
        <f t="shared" si="60"/>
        <v>1.141999999999985</v>
      </c>
      <c r="R1206" s="276">
        <v>1.125</v>
      </c>
      <c r="S1206" s="533"/>
      <c r="T1206"/>
      <c r="U1206"/>
      <c r="V1206"/>
      <c r="W1206"/>
    </row>
    <row r="1207" spans="17:23">
      <c r="Q1207" s="275">
        <f t="shared" si="60"/>
        <v>1.1429999999999849</v>
      </c>
      <c r="R1207" s="276">
        <v>1.125</v>
      </c>
      <c r="S1207" s="533"/>
      <c r="T1207"/>
      <c r="U1207"/>
      <c r="V1207"/>
      <c r="W1207"/>
    </row>
    <row r="1208" spans="17:23">
      <c r="Q1208" s="275">
        <f t="shared" si="60"/>
        <v>1.1439999999999848</v>
      </c>
      <c r="R1208" s="276">
        <v>1.125</v>
      </c>
      <c r="S1208" s="533"/>
      <c r="T1208"/>
      <c r="U1208"/>
      <c r="V1208"/>
      <c r="W1208"/>
    </row>
    <row r="1209" spans="17:23">
      <c r="Q1209" s="275">
        <f t="shared" si="60"/>
        <v>1.1449999999999847</v>
      </c>
      <c r="R1209" s="276">
        <v>1.125</v>
      </c>
      <c r="S1209" s="533"/>
      <c r="T1209"/>
      <c r="U1209"/>
      <c r="V1209"/>
      <c r="W1209"/>
    </row>
    <row r="1210" spans="17:23">
      <c r="Q1210" s="275">
        <f t="shared" si="60"/>
        <v>1.1459999999999846</v>
      </c>
      <c r="R1210" s="276">
        <v>1.125</v>
      </c>
      <c r="S1210" s="533"/>
      <c r="T1210"/>
      <c r="U1210"/>
      <c r="V1210"/>
      <c r="W1210"/>
    </row>
    <row r="1211" spans="17:23">
      <c r="Q1211" s="275">
        <f t="shared" si="60"/>
        <v>1.1469999999999845</v>
      </c>
      <c r="R1211" s="276">
        <v>1.125</v>
      </c>
      <c r="S1211" s="533"/>
      <c r="T1211"/>
      <c r="U1211"/>
      <c r="V1211"/>
      <c r="W1211"/>
    </row>
    <row r="1212" spans="17:23">
      <c r="Q1212" s="275">
        <f t="shared" si="60"/>
        <v>1.1479999999999844</v>
      </c>
      <c r="R1212" s="276">
        <v>1.125</v>
      </c>
      <c r="S1212" s="533"/>
      <c r="T1212"/>
      <c r="U1212"/>
      <c r="V1212"/>
      <c r="W1212"/>
    </row>
    <row r="1213" spans="17:23">
      <c r="Q1213" s="275">
        <f t="shared" si="60"/>
        <v>1.1489999999999843</v>
      </c>
      <c r="R1213" s="276">
        <v>1.125</v>
      </c>
      <c r="S1213" s="533"/>
      <c r="T1213"/>
      <c r="U1213"/>
      <c r="V1213"/>
      <c r="W1213"/>
    </row>
    <row r="1214" spans="17:23">
      <c r="Q1214" s="275">
        <f t="shared" si="60"/>
        <v>1.1499999999999841</v>
      </c>
      <c r="R1214" s="276">
        <v>1.125</v>
      </c>
      <c r="S1214" s="533"/>
      <c r="T1214"/>
      <c r="U1214"/>
      <c r="V1214"/>
      <c r="W1214"/>
    </row>
    <row r="1215" spans="17:23">
      <c r="Q1215" s="275">
        <f t="shared" si="60"/>
        <v>1.150999999999984</v>
      </c>
      <c r="R1215" s="276">
        <v>1.125</v>
      </c>
      <c r="S1215" s="533"/>
      <c r="T1215"/>
      <c r="U1215"/>
      <c r="V1215"/>
      <c r="W1215"/>
    </row>
    <row r="1216" spans="17:23">
      <c r="Q1216" s="275">
        <f t="shared" si="60"/>
        <v>1.1519999999999839</v>
      </c>
      <c r="R1216" s="276">
        <v>1.125</v>
      </c>
      <c r="S1216" s="533"/>
      <c r="T1216"/>
      <c r="U1216"/>
      <c r="V1216"/>
      <c r="W1216"/>
    </row>
    <row r="1217" spans="17:23">
      <c r="Q1217" s="275">
        <f t="shared" ref="Q1217:Q1280" si="61">Q1216+0.001</f>
        <v>1.1529999999999838</v>
      </c>
      <c r="R1217" s="276">
        <v>1.125</v>
      </c>
      <c r="S1217" s="533"/>
      <c r="T1217"/>
      <c r="U1217"/>
      <c r="V1217"/>
      <c r="W1217"/>
    </row>
    <row r="1218" spans="17:23">
      <c r="Q1218" s="275">
        <f t="shared" si="61"/>
        <v>1.1539999999999837</v>
      </c>
      <c r="R1218" s="276">
        <v>1.125</v>
      </c>
      <c r="S1218" s="533"/>
      <c r="T1218"/>
      <c r="U1218"/>
      <c r="V1218"/>
      <c r="W1218"/>
    </row>
    <row r="1219" spans="17:23">
      <c r="Q1219" s="275">
        <f t="shared" si="61"/>
        <v>1.1549999999999836</v>
      </c>
      <c r="R1219" s="276">
        <v>1.125</v>
      </c>
      <c r="S1219" s="533"/>
      <c r="T1219"/>
      <c r="U1219"/>
      <c r="V1219"/>
      <c r="W1219"/>
    </row>
    <row r="1220" spans="17:23">
      <c r="Q1220" s="275">
        <f t="shared" si="61"/>
        <v>1.1559999999999835</v>
      </c>
      <c r="R1220" s="276">
        <v>1.125</v>
      </c>
      <c r="S1220" s="533"/>
      <c r="T1220"/>
      <c r="U1220"/>
      <c r="V1220"/>
      <c r="W1220"/>
    </row>
    <row r="1221" spans="17:23">
      <c r="Q1221" s="275">
        <f t="shared" si="61"/>
        <v>1.1569999999999834</v>
      </c>
      <c r="R1221" s="276">
        <v>1.125</v>
      </c>
      <c r="S1221" s="533"/>
      <c r="T1221"/>
      <c r="U1221"/>
      <c r="V1221"/>
      <c r="W1221"/>
    </row>
    <row r="1222" spans="17:23">
      <c r="Q1222" s="275">
        <f t="shared" si="61"/>
        <v>1.1579999999999833</v>
      </c>
      <c r="R1222" s="276">
        <v>1.125</v>
      </c>
      <c r="S1222" s="533"/>
      <c r="T1222"/>
      <c r="U1222"/>
      <c r="V1222"/>
      <c r="W1222"/>
    </row>
    <row r="1223" spans="17:23">
      <c r="Q1223" s="275">
        <f t="shared" si="61"/>
        <v>1.1589999999999832</v>
      </c>
      <c r="R1223" s="276">
        <v>1.125</v>
      </c>
      <c r="S1223" s="533"/>
      <c r="T1223"/>
      <c r="U1223"/>
      <c r="V1223"/>
      <c r="W1223"/>
    </row>
    <row r="1224" spans="17:23">
      <c r="Q1224" s="275">
        <f t="shared" si="61"/>
        <v>1.159999999999983</v>
      </c>
      <c r="R1224" s="276">
        <v>1.125</v>
      </c>
      <c r="S1224" s="533"/>
      <c r="T1224"/>
      <c r="U1224"/>
      <c r="V1224"/>
      <c r="W1224"/>
    </row>
    <row r="1225" spans="17:23">
      <c r="Q1225" s="275">
        <f t="shared" si="61"/>
        <v>1.1609999999999829</v>
      </c>
      <c r="R1225" s="276">
        <v>1.125</v>
      </c>
      <c r="S1225" s="533"/>
      <c r="T1225"/>
      <c r="U1225"/>
      <c r="V1225"/>
      <c r="W1225"/>
    </row>
    <row r="1226" spans="17:23">
      <c r="Q1226" s="275">
        <f t="shared" si="61"/>
        <v>1.1619999999999828</v>
      </c>
      <c r="R1226" s="276">
        <v>1.125</v>
      </c>
      <c r="S1226" s="533"/>
      <c r="T1226"/>
      <c r="U1226"/>
      <c r="V1226"/>
      <c r="W1226"/>
    </row>
    <row r="1227" spans="17:23">
      <c r="Q1227" s="275">
        <f t="shared" si="61"/>
        <v>1.1629999999999827</v>
      </c>
      <c r="R1227" s="276">
        <v>1.125</v>
      </c>
      <c r="S1227" s="533"/>
      <c r="T1227"/>
      <c r="U1227"/>
      <c r="V1227"/>
      <c r="W1227"/>
    </row>
    <row r="1228" spans="17:23">
      <c r="Q1228" s="275">
        <f t="shared" si="61"/>
        <v>1.1639999999999826</v>
      </c>
      <c r="R1228" s="276">
        <v>1.125</v>
      </c>
      <c r="S1228" s="533"/>
      <c r="T1228"/>
      <c r="U1228"/>
      <c r="V1228"/>
      <c r="W1228"/>
    </row>
    <row r="1229" spans="17:23">
      <c r="Q1229" s="275">
        <f t="shared" si="61"/>
        <v>1.1649999999999825</v>
      </c>
      <c r="R1229" s="276">
        <v>1.125</v>
      </c>
      <c r="S1229" s="533"/>
      <c r="T1229"/>
      <c r="U1229"/>
      <c r="V1229"/>
      <c r="W1229"/>
    </row>
    <row r="1230" spans="17:23">
      <c r="Q1230" s="275">
        <f t="shared" si="61"/>
        <v>1.1659999999999824</v>
      </c>
      <c r="R1230" s="276">
        <v>1.125</v>
      </c>
      <c r="S1230" s="533"/>
      <c r="T1230"/>
      <c r="U1230"/>
      <c r="V1230"/>
      <c r="W1230"/>
    </row>
    <row r="1231" spans="17:23">
      <c r="Q1231" s="275">
        <f t="shared" si="61"/>
        <v>1.1669999999999823</v>
      </c>
      <c r="R1231" s="276">
        <v>1.125</v>
      </c>
      <c r="S1231" s="533"/>
      <c r="T1231"/>
      <c r="U1231"/>
      <c r="V1231"/>
      <c r="W1231"/>
    </row>
    <row r="1232" spans="17:23">
      <c r="Q1232" s="275">
        <f t="shared" si="61"/>
        <v>1.1679999999999822</v>
      </c>
      <c r="R1232" s="276">
        <v>1.125</v>
      </c>
      <c r="S1232" s="533"/>
      <c r="T1232"/>
      <c r="U1232"/>
      <c r="V1232"/>
      <c r="W1232"/>
    </row>
    <row r="1233" spans="17:23">
      <c r="Q1233" s="275">
        <f t="shared" si="61"/>
        <v>1.1689999999999821</v>
      </c>
      <c r="R1233" s="276">
        <v>1.125</v>
      </c>
      <c r="S1233" s="533"/>
      <c r="T1233"/>
      <c r="U1233"/>
      <c r="V1233"/>
      <c r="W1233"/>
    </row>
    <row r="1234" spans="17:23">
      <c r="Q1234" s="275">
        <f t="shared" si="61"/>
        <v>1.1699999999999819</v>
      </c>
      <c r="R1234" s="276">
        <v>1.125</v>
      </c>
      <c r="S1234" s="533"/>
      <c r="T1234"/>
      <c r="U1234"/>
      <c r="V1234"/>
      <c r="W1234"/>
    </row>
    <row r="1235" spans="17:23">
      <c r="Q1235" s="275">
        <f t="shared" si="61"/>
        <v>1.1709999999999818</v>
      </c>
      <c r="R1235" s="276">
        <v>1.125</v>
      </c>
      <c r="S1235" s="533"/>
      <c r="T1235"/>
      <c r="U1235"/>
      <c r="V1235"/>
      <c r="W1235"/>
    </row>
    <row r="1236" spans="17:23">
      <c r="Q1236" s="275">
        <f t="shared" si="61"/>
        <v>1.1719999999999817</v>
      </c>
      <c r="R1236" s="276">
        <v>1.125</v>
      </c>
      <c r="S1236" s="533"/>
      <c r="T1236"/>
      <c r="U1236"/>
      <c r="V1236"/>
      <c r="W1236"/>
    </row>
    <row r="1237" spans="17:23">
      <c r="Q1237" s="275">
        <f t="shared" si="61"/>
        <v>1.1729999999999816</v>
      </c>
      <c r="R1237" s="276">
        <v>1.125</v>
      </c>
      <c r="S1237" s="533"/>
      <c r="T1237"/>
      <c r="U1237"/>
      <c r="V1237"/>
      <c r="W1237"/>
    </row>
    <row r="1238" spans="17:23">
      <c r="Q1238" s="275">
        <f t="shared" si="61"/>
        <v>1.1739999999999815</v>
      </c>
      <c r="R1238" s="276">
        <v>1.125</v>
      </c>
      <c r="S1238" s="533"/>
      <c r="T1238"/>
      <c r="U1238"/>
      <c r="V1238"/>
      <c r="W1238"/>
    </row>
    <row r="1239" spans="17:23">
      <c r="Q1239" s="275">
        <f t="shared" si="61"/>
        <v>1.1749999999999814</v>
      </c>
      <c r="R1239" s="276">
        <v>1.125</v>
      </c>
      <c r="S1239" s="533"/>
      <c r="T1239"/>
      <c r="U1239"/>
      <c r="V1239"/>
      <c r="W1239"/>
    </row>
    <row r="1240" spans="17:23">
      <c r="Q1240" s="275">
        <f t="shared" si="61"/>
        <v>1.1759999999999813</v>
      </c>
      <c r="R1240" s="276">
        <v>1.125</v>
      </c>
      <c r="S1240" s="533"/>
      <c r="T1240"/>
      <c r="U1240"/>
      <c r="V1240"/>
      <c r="W1240"/>
    </row>
    <row r="1241" spans="17:23">
      <c r="Q1241" s="275">
        <f t="shared" si="61"/>
        <v>1.1769999999999812</v>
      </c>
      <c r="R1241" s="276">
        <v>1.125</v>
      </c>
      <c r="S1241" s="533"/>
      <c r="T1241"/>
      <c r="U1241"/>
      <c r="V1241"/>
      <c r="W1241"/>
    </row>
    <row r="1242" spans="17:23">
      <c r="Q1242" s="275">
        <f t="shared" si="61"/>
        <v>1.1779999999999811</v>
      </c>
      <c r="R1242" s="276">
        <v>1.125</v>
      </c>
      <c r="S1242" s="533"/>
      <c r="T1242"/>
      <c r="U1242"/>
      <c r="V1242"/>
      <c r="W1242"/>
    </row>
    <row r="1243" spans="17:23">
      <c r="Q1243" s="275">
        <f t="shared" si="61"/>
        <v>1.178999999999981</v>
      </c>
      <c r="R1243" s="276">
        <v>1.125</v>
      </c>
      <c r="S1243" s="533"/>
      <c r="T1243"/>
      <c r="U1243"/>
      <c r="V1243"/>
      <c r="W1243"/>
    </row>
    <row r="1244" spans="17:23">
      <c r="Q1244" s="275">
        <f t="shared" si="61"/>
        <v>1.1799999999999808</v>
      </c>
      <c r="R1244" s="276">
        <v>1.125</v>
      </c>
      <c r="S1244" s="533"/>
      <c r="T1244"/>
      <c r="U1244"/>
      <c r="V1244"/>
      <c r="W1244"/>
    </row>
    <row r="1245" spans="17:23">
      <c r="Q1245" s="275">
        <f t="shared" si="61"/>
        <v>1.1809999999999807</v>
      </c>
      <c r="R1245" s="276">
        <v>1.125</v>
      </c>
      <c r="S1245" s="533"/>
      <c r="T1245"/>
      <c r="U1245"/>
      <c r="V1245"/>
      <c r="W1245"/>
    </row>
    <row r="1246" spans="17:23">
      <c r="Q1246" s="275">
        <f t="shared" si="61"/>
        <v>1.1819999999999806</v>
      </c>
      <c r="R1246" s="276">
        <v>1.125</v>
      </c>
      <c r="S1246" s="533"/>
      <c r="T1246"/>
      <c r="U1246"/>
      <c r="V1246"/>
      <c r="W1246"/>
    </row>
    <row r="1247" spans="17:23">
      <c r="Q1247" s="275">
        <f t="shared" si="61"/>
        <v>1.1829999999999805</v>
      </c>
      <c r="R1247" s="276">
        <v>1.125</v>
      </c>
      <c r="S1247" s="533"/>
      <c r="T1247"/>
      <c r="U1247"/>
      <c r="V1247"/>
      <c r="W1247"/>
    </row>
    <row r="1248" spans="17:23">
      <c r="Q1248" s="275">
        <f t="shared" si="61"/>
        <v>1.1839999999999804</v>
      </c>
      <c r="R1248" s="276">
        <v>1.125</v>
      </c>
      <c r="S1248" s="533"/>
      <c r="T1248"/>
      <c r="U1248"/>
      <c r="V1248"/>
      <c r="W1248"/>
    </row>
    <row r="1249" spans="17:23">
      <c r="Q1249" s="275">
        <f t="shared" si="61"/>
        <v>1.1849999999999803</v>
      </c>
      <c r="R1249" s="276">
        <v>1.125</v>
      </c>
      <c r="S1249" s="533"/>
      <c r="T1249"/>
      <c r="U1249"/>
      <c r="V1249"/>
      <c r="W1249"/>
    </row>
    <row r="1250" spans="17:23">
      <c r="Q1250" s="275">
        <f t="shared" si="61"/>
        <v>1.1859999999999802</v>
      </c>
      <c r="R1250" s="276">
        <v>1.125</v>
      </c>
      <c r="S1250" s="533"/>
      <c r="T1250"/>
      <c r="U1250"/>
      <c r="V1250"/>
      <c r="W1250"/>
    </row>
    <row r="1251" spans="17:23">
      <c r="Q1251" s="275">
        <f t="shared" si="61"/>
        <v>1.1869999999999801</v>
      </c>
      <c r="R1251" s="276">
        <v>1.125</v>
      </c>
      <c r="S1251" s="533"/>
      <c r="T1251"/>
      <c r="U1251"/>
      <c r="V1251"/>
      <c r="W1251"/>
    </row>
    <row r="1252" spans="17:23">
      <c r="Q1252" s="275">
        <f t="shared" si="61"/>
        <v>1.18799999999998</v>
      </c>
      <c r="R1252" s="276">
        <v>1.125</v>
      </c>
      <c r="S1252" s="533"/>
      <c r="T1252"/>
      <c r="U1252"/>
      <c r="V1252"/>
      <c r="W1252"/>
    </row>
    <row r="1253" spans="17:23">
      <c r="Q1253" s="275">
        <f t="shared" si="61"/>
        <v>1.1889999999999799</v>
      </c>
      <c r="R1253" s="276">
        <v>1.125</v>
      </c>
      <c r="S1253" s="533"/>
      <c r="T1253"/>
      <c r="U1253"/>
      <c r="V1253"/>
      <c r="W1253"/>
    </row>
    <row r="1254" spans="17:23">
      <c r="Q1254" s="275">
        <f t="shared" si="61"/>
        <v>1.1899999999999797</v>
      </c>
      <c r="R1254" s="276">
        <v>1.125</v>
      </c>
      <c r="S1254" s="533"/>
      <c r="T1254"/>
      <c r="U1254"/>
      <c r="V1254"/>
      <c r="W1254"/>
    </row>
    <row r="1255" spans="17:23">
      <c r="Q1255" s="275">
        <f t="shared" si="61"/>
        <v>1.1909999999999796</v>
      </c>
      <c r="R1255" s="276">
        <v>1.125</v>
      </c>
      <c r="S1255" s="533"/>
      <c r="T1255"/>
      <c r="U1255"/>
      <c r="V1255"/>
      <c r="W1255"/>
    </row>
    <row r="1256" spans="17:23">
      <c r="Q1256" s="275">
        <f t="shared" si="61"/>
        <v>1.1919999999999795</v>
      </c>
      <c r="R1256" s="276">
        <v>1.125</v>
      </c>
      <c r="S1256" s="533"/>
      <c r="T1256"/>
      <c r="U1256"/>
      <c r="V1256"/>
      <c r="W1256"/>
    </row>
    <row r="1257" spans="17:23">
      <c r="Q1257" s="275">
        <f t="shared" si="61"/>
        <v>1.1929999999999794</v>
      </c>
      <c r="R1257" s="276">
        <v>1.125</v>
      </c>
      <c r="S1257" s="533"/>
      <c r="T1257"/>
      <c r="U1257"/>
      <c r="V1257"/>
      <c r="W1257"/>
    </row>
    <row r="1258" spans="17:23">
      <c r="Q1258" s="275">
        <f t="shared" si="61"/>
        <v>1.1939999999999793</v>
      </c>
      <c r="R1258" s="276">
        <v>1.125</v>
      </c>
      <c r="S1258" s="533"/>
      <c r="T1258"/>
      <c r="U1258"/>
      <c r="V1258"/>
      <c r="W1258"/>
    </row>
    <row r="1259" spans="17:23">
      <c r="Q1259" s="275">
        <f t="shared" si="61"/>
        <v>1.1949999999999792</v>
      </c>
      <c r="R1259" s="276">
        <v>1.125</v>
      </c>
      <c r="S1259" s="533"/>
      <c r="T1259"/>
      <c r="U1259"/>
      <c r="V1259"/>
      <c r="W1259"/>
    </row>
    <row r="1260" spans="17:23">
      <c r="Q1260" s="275">
        <f t="shared" si="61"/>
        <v>1.1959999999999791</v>
      </c>
      <c r="R1260" s="276">
        <v>1.125</v>
      </c>
      <c r="S1260" s="533"/>
      <c r="T1260"/>
      <c r="U1260"/>
      <c r="V1260"/>
      <c r="W1260"/>
    </row>
    <row r="1261" spans="17:23">
      <c r="Q1261" s="275">
        <f t="shared" si="61"/>
        <v>1.196999999999979</v>
      </c>
      <c r="R1261" s="276">
        <v>1.125</v>
      </c>
      <c r="S1261" s="533"/>
      <c r="T1261"/>
      <c r="U1261"/>
      <c r="V1261"/>
      <c r="W1261"/>
    </row>
    <row r="1262" spans="17:23">
      <c r="Q1262" s="275">
        <f t="shared" si="61"/>
        <v>1.1979999999999789</v>
      </c>
      <c r="R1262" s="276">
        <v>1.125</v>
      </c>
      <c r="S1262" s="533"/>
      <c r="T1262"/>
      <c r="U1262"/>
      <c r="V1262"/>
      <c r="W1262"/>
    </row>
    <row r="1263" spans="17:23">
      <c r="Q1263" s="275">
        <f t="shared" si="61"/>
        <v>1.1989999999999787</v>
      </c>
      <c r="R1263" s="276">
        <v>1.25</v>
      </c>
      <c r="S1263" s="533"/>
      <c r="T1263"/>
      <c r="U1263"/>
      <c r="V1263"/>
      <c r="W1263"/>
    </row>
    <row r="1264" spans="17:23">
      <c r="Q1264" s="275">
        <f t="shared" si="61"/>
        <v>1.1999999999999786</v>
      </c>
      <c r="R1264" s="276">
        <v>1.25</v>
      </c>
      <c r="S1264" s="533"/>
      <c r="T1264"/>
      <c r="U1264"/>
      <c r="V1264"/>
      <c r="W1264"/>
    </row>
    <row r="1265" spans="17:23">
      <c r="Q1265" s="275">
        <f t="shared" si="61"/>
        <v>1.2009999999999785</v>
      </c>
      <c r="R1265" s="276">
        <v>1.25</v>
      </c>
      <c r="S1265" s="533"/>
      <c r="T1265"/>
      <c r="U1265"/>
      <c r="V1265"/>
      <c r="W1265"/>
    </row>
    <row r="1266" spans="17:23">
      <c r="Q1266" s="275">
        <f t="shared" si="61"/>
        <v>1.2019999999999784</v>
      </c>
      <c r="R1266" s="276">
        <v>1.25</v>
      </c>
      <c r="S1266" s="533"/>
      <c r="T1266"/>
      <c r="U1266"/>
      <c r="V1266"/>
      <c r="W1266"/>
    </row>
    <row r="1267" spans="17:23">
      <c r="Q1267" s="275">
        <f t="shared" si="61"/>
        <v>1.2029999999999783</v>
      </c>
      <c r="R1267" s="276">
        <v>1.25</v>
      </c>
      <c r="S1267" s="533"/>
      <c r="T1267"/>
      <c r="U1267"/>
      <c r="V1267"/>
      <c r="W1267"/>
    </row>
    <row r="1268" spans="17:23">
      <c r="Q1268" s="275">
        <f t="shared" si="61"/>
        <v>1.2039999999999782</v>
      </c>
      <c r="R1268" s="276">
        <v>1.25</v>
      </c>
      <c r="S1268" s="533"/>
      <c r="T1268"/>
      <c r="U1268"/>
      <c r="V1268"/>
      <c r="W1268"/>
    </row>
    <row r="1269" spans="17:23">
      <c r="Q1269" s="275">
        <f t="shared" si="61"/>
        <v>1.2049999999999781</v>
      </c>
      <c r="R1269" s="276">
        <v>1.25</v>
      </c>
      <c r="S1269" s="533"/>
      <c r="T1269"/>
      <c r="U1269"/>
      <c r="V1269"/>
      <c r="W1269"/>
    </row>
    <row r="1270" spans="17:23">
      <c r="Q1270" s="275">
        <f t="shared" si="61"/>
        <v>1.205999999999978</v>
      </c>
      <c r="R1270" s="276">
        <v>1.25</v>
      </c>
      <c r="S1270" s="533"/>
      <c r="T1270"/>
      <c r="U1270"/>
      <c r="V1270"/>
      <c r="W1270"/>
    </row>
    <row r="1271" spans="17:23">
      <c r="Q1271" s="275">
        <f t="shared" si="61"/>
        <v>1.2069999999999779</v>
      </c>
      <c r="R1271" s="276">
        <v>1.25</v>
      </c>
      <c r="S1271" s="533"/>
      <c r="T1271"/>
      <c r="U1271"/>
      <c r="V1271"/>
      <c r="W1271"/>
    </row>
    <row r="1272" spans="17:23">
      <c r="Q1272" s="275">
        <f t="shared" si="61"/>
        <v>1.2079999999999778</v>
      </c>
      <c r="R1272" s="276">
        <v>1.25</v>
      </c>
      <c r="S1272" s="533"/>
      <c r="T1272"/>
      <c r="U1272"/>
      <c r="V1272"/>
      <c r="W1272"/>
    </row>
    <row r="1273" spans="17:23">
      <c r="Q1273" s="275">
        <f t="shared" si="61"/>
        <v>1.2089999999999776</v>
      </c>
      <c r="R1273" s="276">
        <v>1.25</v>
      </c>
      <c r="S1273" s="533"/>
      <c r="T1273"/>
      <c r="U1273"/>
      <c r="V1273"/>
      <c r="W1273"/>
    </row>
    <row r="1274" spans="17:23">
      <c r="Q1274" s="275">
        <f t="shared" si="61"/>
        <v>1.2099999999999775</v>
      </c>
      <c r="R1274" s="276">
        <v>1.25</v>
      </c>
      <c r="S1274" s="533"/>
      <c r="T1274"/>
      <c r="U1274"/>
      <c r="V1274"/>
      <c r="W1274"/>
    </row>
    <row r="1275" spans="17:23">
      <c r="Q1275" s="275">
        <f t="shared" si="61"/>
        <v>1.2109999999999774</v>
      </c>
      <c r="R1275" s="276">
        <v>1.25</v>
      </c>
      <c r="S1275" s="533"/>
      <c r="T1275"/>
      <c r="U1275"/>
      <c r="V1275"/>
      <c r="W1275"/>
    </row>
    <row r="1276" spans="17:23">
      <c r="Q1276" s="275">
        <f t="shared" si="61"/>
        <v>1.2119999999999773</v>
      </c>
      <c r="R1276" s="276">
        <v>1.25</v>
      </c>
      <c r="S1276" s="533"/>
      <c r="T1276"/>
      <c r="U1276"/>
      <c r="V1276"/>
      <c r="W1276"/>
    </row>
    <row r="1277" spans="17:23">
      <c r="Q1277" s="275">
        <f t="shared" si="61"/>
        <v>1.2129999999999772</v>
      </c>
      <c r="R1277" s="276">
        <v>1.25</v>
      </c>
      <c r="S1277" s="533"/>
      <c r="T1277"/>
      <c r="U1277"/>
      <c r="V1277"/>
      <c r="W1277"/>
    </row>
    <row r="1278" spans="17:23">
      <c r="Q1278" s="275">
        <f t="shared" si="61"/>
        <v>1.2139999999999771</v>
      </c>
      <c r="R1278" s="276">
        <v>1.25</v>
      </c>
      <c r="S1278" s="533"/>
      <c r="T1278"/>
      <c r="U1278"/>
      <c r="V1278"/>
      <c r="W1278"/>
    </row>
    <row r="1279" spans="17:23">
      <c r="Q1279" s="275">
        <f t="shared" si="61"/>
        <v>1.214999999999977</v>
      </c>
      <c r="R1279" s="276">
        <v>1.25</v>
      </c>
      <c r="S1279" s="533"/>
      <c r="T1279"/>
      <c r="U1279"/>
      <c r="V1279"/>
      <c r="W1279"/>
    </row>
    <row r="1280" spans="17:23">
      <c r="Q1280" s="275">
        <f t="shared" si="61"/>
        <v>1.2159999999999769</v>
      </c>
      <c r="R1280" s="276">
        <v>1.25</v>
      </c>
      <c r="S1280" s="533"/>
      <c r="T1280"/>
      <c r="U1280"/>
      <c r="V1280"/>
      <c r="W1280"/>
    </row>
    <row r="1281" spans="17:23">
      <c r="Q1281" s="275">
        <f t="shared" ref="Q1281:Q1344" si="62">Q1280+0.001</f>
        <v>1.2169999999999768</v>
      </c>
      <c r="R1281" s="276">
        <v>1.25</v>
      </c>
      <c r="S1281" s="533"/>
      <c r="T1281"/>
      <c r="U1281"/>
      <c r="V1281"/>
      <c r="W1281"/>
    </row>
    <row r="1282" spans="17:23">
      <c r="Q1282" s="275">
        <f t="shared" si="62"/>
        <v>1.2179999999999767</v>
      </c>
      <c r="R1282" s="276">
        <v>1.25</v>
      </c>
      <c r="S1282" s="533"/>
      <c r="T1282"/>
      <c r="U1282"/>
      <c r="V1282"/>
      <c r="W1282"/>
    </row>
    <row r="1283" spans="17:23">
      <c r="Q1283" s="275">
        <f t="shared" si="62"/>
        <v>1.2189999999999765</v>
      </c>
      <c r="R1283" s="276">
        <v>1.25</v>
      </c>
      <c r="S1283" s="533"/>
      <c r="T1283"/>
      <c r="U1283"/>
      <c r="V1283"/>
      <c r="W1283"/>
    </row>
    <row r="1284" spans="17:23">
      <c r="Q1284" s="275">
        <f t="shared" si="62"/>
        <v>1.2199999999999764</v>
      </c>
      <c r="R1284" s="276">
        <v>1.25</v>
      </c>
      <c r="S1284" s="533"/>
      <c r="T1284"/>
      <c r="U1284"/>
      <c r="V1284"/>
      <c r="W1284"/>
    </row>
    <row r="1285" spans="17:23">
      <c r="Q1285" s="275">
        <f t="shared" si="62"/>
        <v>1.2209999999999763</v>
      </c>
      <c r="R1285" s="276">
        <v>1.25</v>
      </c>
      <c r="S1285" s="533"/>
      <c r="T1285"/>
      <c r="U1285"/>
      <c r="V1285"/>
      <c r="W1285"/>
    </row>
    <row r="1286" spans="17:23">
      <c r="Q1286" s="275">
        <f t="shared" si="62"/>
        <v>1.2219999999999762</v>
      </c>
      <c r="R1286" s="276">
        <v>1.25</v>
      </c>
      <c r="S1286" s="533"/>
      <c r="T1286"/>
      <c r="U1286"/>
      <c r="V1286"/>
      <c r="W1286"/>
    </row>
    <row r="1287" spans="17:23">
      <c r="Q1287" s="275">
        <f t="shared" si="62"/>
        <v>1.2229999999999761</v>
      </c>
      <c r="R1287" s="276">
        <v>1.25</v>
      </c>
      <c r="S1287" s="533"/>
      <c r="T1287"/>
      <c r="U1287"/>
      <c r="V1287"/>
      <c r="W1287"/>
    </row>
    <row r="1288" spans="17:23">
      <c r="Q1288" s="275">
        <f t="shared" si="62"/>
        <v>1.223999999999976</v>
      </c>
      <c r="R1288" s="276">
        <v>1.5</v>
      </c>
      <c r="S1288" s="533"/>
      <c r="T1288"/>
      <c r="U1288"/>
      <c r="V1288"/>
      <c r="W1288"/>
    </row>
    <row r="1289" spans="17:23">
      <c r="Q1289" s="275">
        <f t="shared" si="62"/>
        <v>1.2249999999999759</v>
      </c>
      <c r="R1289" s="276">
        <v>1.5</v>
      </c>
      <c r="S1289" s="533"/>
      <c r="T1289"/>
      <c r="U1289"/>
      <c r="V1289"/>
      <c r="W1289"/>
    </row>
    <row r="1290" spans="17:23">
      <c r="Q1290" s="275">
        <f t="shared" si="62"/>
        <v>1.2259999999999758</v>
      </c>
      <c r="R1290" s="276">
        <v>1.5</v>
      </c>
      <c r="S1290" s="533"/>
      <c r="T1290"/>
      <c r="U1290"/>
      <c r="V1290"/>
      <c r="W1290"/>
    </row>
    <row r="1291" spans="17:23">
      <c r="Q1291" s="275">
        <f t="shared" si="62"/>
        <v>1.2269999999999757</v>
      </c>
      <c r="R1291" s="276">
        <v>1.5</v>
      </c>
      <c r="S1291" s="533"/>
      <c r="T1291"/>
      <c r="U1291"/>
      <c r="V1291"/>
      <c r="W1291"/>
    </row>
    <row r="1292" spans="17:23">
      <c r="Q1292" s="275">
        <f t="shared" si="62"/>
        <v>1.2279999999999756</v>
      </c>
      <c r="R1292" s="276">
        <v>1.5</v>
      </c>
      <c r="S1292" s="533"/>
      <c r="T1292"/>
      <c r="U1292"/>
      <c r="V1292"/>
      <c r="W1292"/>
    </row>
    <row r="1293" spans="17:23">
      <c r="Q1293" s="275">
        <f t="shared" si="62"/>
        <v>1.2289999999999754</v>
      </c>
      <c r="R1293" s="276">
        <v>1.5</v>
      </c>
      <c r="S1293" s="533"/>
      <c r="T1293"/>
      <c r="U1293"/>
      <c r="V1293"/>
      <c r="W1293"/>
    </row>
    <row r="1294" spans="17:23">
      <c r="Q1294" s="275">
        <f t="shared" si="62"/>
        <v>1.2299999999999753</v>
      </c>
      <c r="R1294" s="276">
        <v>1.5</v>
      </c>
      <c r="S1294" s="533"/>
      <c r="T1294"/>
      <c r="U1294"/>
      <c r="V1294"/>
      <c r="W1294"/>
    </row>
    <row r="1295" spans="17:23">
      <c r="Q1295" s="275">
        <f t="shared" si="62"/>
        <v>1.2309999999999752</v>
      </c>
      <c r="R1295" s="276">
        <v>1.5</v>
      </c>
      <c r="S1295" s="533"/>
      <c r="T1295"/>
      <c r="U1295"/>
      <c r="V1295"/>
      <c r="W1295"/>
    </row>
    <row r="1296" spans="17:23">
      <c r="Q1296" s="275">
        <f t="shared" si="62"/>
        <v>1.2319999999999751</v>
      </c>
      <c r="R1296" s="276">
        <v>1.5</v>
      </c>
      <c r="S1296" s="533"/>
      <c r="T1296"/>
      <c r="U1296"/>
      <c r="V1296"/>
      <c r="W1296"/>
    </row>
    <row r="1297" spans="17:23">
      <c r="Q1297" s="275">
        <f t="shared" si="62"/>
        <v>1.232999999999975</v>
      </c>
      <c r="R1297" s="276">
        <v>1.5</v>
      </c>
      <c r="S1297" s="533"/>
      <c r="T1297"/>
      <c r="U1297"/>
      <c r="V1297"/>
      <c r="W1297"/>
    </row>
    <row r="1298" spans="17:23">
      <c r="Q1298" s="275">
        <f t="shared" si="62"/>
        <v>1.2339999999999749</v>
      </c>
      <c r="R1298" s="276">
        <v>1.5</v>
      </c>
      <c r="S1298" s="533"/>
      <c r="T1298"/>
      <c r="U1298"/>
      <c r="V1298"/>
      <c r="W1298"/>
    </row>
    <row r="1299" spans="17:23">
      <c r="Q1299" s="275">
        <f t="shared" si="62"/>
        <v>1.2349999999999748</v>
      </c>
      <c r="R1299" s="276">
        <v>1.5</v>
      </c>
      <c r="S1299" s="533"/>
      <c r="T1299"/>
      <c r="U1299"/>
      <c r="V1299"/>
      <c r="W1299"/>
    </row>
    <row r="1300" spans="17:23">
      <c r="Q1300" s="275">
        <f t="shared" si="62"/>
        <v>1.2359999999999747</v>
      </c>
      <c r="R1300" s="276">
        <v>1.5</v>
      </c>
      <c r="S1300" s="533"/>
      <c r="T1300"/>
      <c r="U1300"/>
      <c r="V1300"/>
      <c r="W1300"/>
    </row>
    <row r="1301" spans="17:23">
      <c r="Q1301" s="275">
        <f t="shared" si="62"/>
        <v>1.2369999999999746</v>
      </c>
      <c r="R1301" s="276">
        <v>1.5</v>
      </c>
      <c r="S1301" s="533"/>
      <c r="T1301"/>
      <c r="U1301"/>
      <c r="V1301"/>
      <c r="W1301"/>
    </row>
    <row r="1302" spans="17:23">
      <c r="Q1302" s="275">
        <f t="shared" si="62"/>
        <v>1.2379999999999745</v>
      </c>
      <c r="R1302" s="276">
        <v>1.5</v>
      </c>
      <c r="S1302" s="533"/>
      <c r="T1302"/>
      <c r="U1302"/>
      <c r="V1302"/>
      <c r="W1302"/>
    </row>
    <row r="1303" spans="17:23">
      <c r="Q1303" s="275">
        <f t="shared" si="62"/>
        <v>1.2389999999999743</v>
      </c>
      <c r="R1303" s="276">
        <v>1.5</v>
      </c>
      <c r="S1303" s="533"/>
      <c r="T1303"/>
      <c r="U1303"/>
      <c r="V1303"/>
      <c r="W1303"/>
    </row>
    <row r="1304" spans="17:23">
      <c r="Q1304" s="275">
        <f t="shared" si="62"/>
        <v>1.2399999999999742</v>
      </c>
      <c r="R1304" s="276">
        <v>1.5</v>
      </c>
      <c r="S1304" s="533"/>
      <c r="T1304"/>
      <c r="U1304"/>
      <c r="V1304"/>
      <c r="W1304"/>
    </row>
    <row r="1305" spans="17:23">
      <c r="Q1305" s="275">
        <f t="shared" si="62"/>
        <v>1.2409999999999741</v>
      </c>
      <c r="R1305" s="276">
        <v>1.5</v>
      </c>
      <c r="S1305" s="533"/>
      <c r="T1305"/>
      <c r="U1305"/>
      <c r="V1305"/>
      <c r="W1305"/>
    </row>
    <row r="1306" spans="17:23">
      <c r="Q1306" s="275">
        <f t="shared" si="62"/>
        <v>1.241999999999974</v>
      </c>
      <c r="R1306" s="276">
        <v>1.5</v>
      </c>
      <c r="S1306" s="533"/>
      <c r="T1306"/>
      <c r="U1306"/>
      <c r="V1306"/>
      <c r="W1306"/>
    </row>
    <row r="1307" spans="17:23">
      <c r="Q1307" s="275">
        <f t="shared" si="62"/>
        <v>1.2429999999999739</v>
      </c>
      <c r="R1307" s="276">
        <v>1.5</v>
      </c>
      <c r="S1307" s="533"/>
      <c r="T1307"/>
      <c r="U1307"/>
      <c r="V1307"/>
      <c r="W1307"/>
    </row>
    <row r="1308" spans="17:23">
      <c r="Q1308" s="275">
        <f t="shared" si="62"/>
        <v>1.2439999999999738</v>
      </c>
      <c r="R1308" s="276">
        <v>1.5</v>
      </c>
      <c r="S1308" s="533"/>
      <c r="T1308"/>
      <c r="U1308"/>
      <c r="V1308"/>
      <c r="W1308"/>
    </row>
    <row r="1309" spans="17:23">
      <c r="Q1309" s="275">
        <f t="shared" si="62"/>
        <v>1.2449999999999737</v>
      </c>
      <c r="R1309" s="276">
        <v>1.5</v>
      </c>
      <c r="S1309" s="533"/>
      <c r="T1309"/>
      <c r="U1309"/>
      <c r="V1309"/>
      <c r="W1309"/>
    </row>
    <row r="1310" spans="17:23">
      <c r="Q1310" s="275">
        <f t="shared" si="62"/>
        <v>1.2459999999999736</v>
      </c>
      <c r="R1310" s="276">
        <v>1.5</v>
      </c>
      <c r="S1310" s="533"/>
      <c r="T1310"/>
      <c r="U1310"/>
      <c r="V1310"/>
      <c r="W1310"/>
    </row>
    <row r="1311" spans="17:23">
      <c r="Q1311" s="275">
        <f t="shared" si="62"/>
        <v>1.2469999999999735</v>
      </c>
      <c r="R1311" s="276">
        <v>1.5</v>
      </c>
      <c r="S1311" s="533"/>
      <c r="T1311"/>
      <c r="U1311"/>
      <c r="V1311"/>
      <c r="W1311"/>
    </row>
    <row r="1312" spans="17:23">
      <c r="Q1312" s="275">
        <f t="shared" si="62"/>
        <v>1.2479999999999734</v>
      </c>
      <c r="R1312" s="276">
        <v>1.5</v>
      </c>
      <c r="S1312" s="533"/>
      <c r="T1312"/>
      <c r="U1312"/>
      <c r="V1312"/>
      <c r="W1312"/>
    </row>
    <row r="1313" spans="17:23">
      <c r="Q1313" s="275">
        <f t="shared" si="62"/>
        <v>1.2489999999999732</v>
      </c>
      <c r="R1313" s="276">
        <v>1.5</v>
      </c>
      <c r="S1313" s="533"/>
      <c r="T1313"/>
      <c r="U1313"/>
      <c r="V1313"/>
      <c r="W1313"/>
    </row>
    <row r="1314" spans="17:23">
      <c r="Q1314" s="275">
        <f t="shared" si="62"/>
        <v>1.2499999999999731</v>
      </c>
      <c r="R1314" s="276">
        <v>1.5</v>
      </c>
      <c r="S1314" s="533"/>
      <c r="T1314"/>
      <c r="U1314"/>
      <c r="V1314"/>
      <c r="W1314"/>
    </row>
    <row r="1315" spans="17:23">
      <c r="Q1315" s="275">
        <f t="shared" si="62"/>
        <v>1.250999999999973</v>
      </c>
      <c r="R1315" s="276">
        <v>1.5</v>
      </c>
      <c r="S1315" s="533"/>
      <c r="T1315"/>
      <c r="U1315"/>
      <c r="V1315"/>
      <c r="W1315"/>
    </row>
    <row r="1316" spans="17:23">
      <c r="Q1316" s="275">
        <f t="shared" si="62"/>
        <v>1.2519999999999729</v>
      </c>
      <c r="R1316" s="276">
        <v>1.5</v>
      </c>
      <c r="S1316" s="533"/>
      <c r="T1316"/>
      <c r="U1316"/>
      <c r="V1316"/>
      <c r="W1316"/>
    </row>
    <row r="1317" spans="17:23">
      <c r="Q1317" s="275">
        <f t="shared" si="62"/>
        <v>1.2529999999999728</v>
      </c>
      <c r="R1317" s="276">
        <v>1.5</v>
      </c>
      <c r="S1317" s="533"/>
      <c r="T1317"/>
      <c r="U1317"/>
      <c r="V1317"/>
      <c r="W1317"/>
    </row>
    <row r="1318" spans="17:23">
      <c r="Q1318" s="275">
        <f t="shared" si="62"/>
        <v>1.2539999999999727</v>
      </c>
      <c r="R1318" s="276">
        <v>1.5</v>
      </c>
      <c r="S1318" s="533"/>
      <c r="T1318"/>
      <c r="U1318"/>
      <c r="V1318"/>
      <c r="W1318"/>
    </row>
    <row r="1319" spans="17:23">
      <c r="Q1319" s="275">
        <f t="shared" si="62"/>
        <v>1.2549999999999726</v>
      </c>
      <c r="R1319" s="276">
        <v>1.5</v>
      </c>
      <c r="S1319" s="533"/>
      <c r="T1319"/>
      <c r="U1319"/>
      <c r="V1319"/>
      <c r="W1319"/>
    </row>
    <row r="1320" spans="17:23">
      <c r="Q1320" s="275">
        <f t="shared" si="62"/>
        <v>1.2559999999999725</v>
      </c>
      <c r="R1320" s="276">
        <v>1.5</v>
      </c>
      <c r="S1320" s="533"/>
      <c r="T1320"/>
      <c r="U1320"/>
      <c r="V1320"/>
      <c r="W1320"/>
    </row>
    <row r="1321" spans="17:23">
      <c r="Q1321" s="275">
        <f t="shared" si="62"/>
        <v>1.2569999999999724</v>
      </c>
      <c r="R1321" s="276">
        <v>1.5</v>
      </c>
      <c r="S1321" s="533"/>
      <c r="T1321"/>
      <c r="U1321"/>
      <c r="V1321"/>
      <c r="W1321"/>
    </row>
    <row r="1322" spans="17:23">
      <c r="Q1322" s="275">
        <f t="shared" si="62"/>
        <v>1.2579999999999723</v>
      </c>
      <c r="R1322" s="276">
        <v>1.5</v>
      </c>
      <c r="S1322" s="533"/>
      <c r="T1322"/>
      <c r="U1322"/>
      <c r="V1322"/>
      <c r="W1322"/>
    </row>
    <row r="1323" spans="17:23">
      <c r="Q1323" s="275">
        <f t="shared" si="62"/>
        <v>1.2589999999999721</v>
      </c>
      <c r="R1323" s="276">
        <v>1.5</v>
      </c>
      <c r="S1323" s="533"/>
      <c r="T1323"/>
      <c r="U1323"/>
      <c r="V1323"/>
      <c r="W1323"/>
    </row>
    <row r="1324" spans="17:23">
      <c r="Q1324" s="275">
        <f t="shared" si="62"/>
        <v>1.259999999999972</v>
      </c>
      <c r="R1324" s="276">
        <v>1.5</v>
      </c>
      <c r="S1324" s="533"/>
      <c r="T1324"/>
      <c r="U1324"/>
      <c r="V1324"/>
      <c r="W1324"/>
    </row>
    <row r="1325" spans="17:23">
      <c r="Q1325" s="275">
        <f t="shared" si="62"/>
        <v>1.2609999999999719</v>
      </c>
      <c r="R1325" s="276">
        <v>1.5</v>
      </c>
      <c r="S1325" s="533"/>
      <c r="T1325"/>
      <c r="U1325"/>
      <c r="V1325"/>
      <c r="W1325"/>
    </row>
    <row r="1326" spans="17:23">
      <c r="Q1326" s="275">
        <f t="shared" si="62"/>
        <v>1.2619999999999718</v>
      </c>
      <c r="R1326" s="276">
        <v>1.5</v>
      </c>
      <c r="S1326" s="533"/>
      <c r="T1326"/>
      <c r="U1326"/>
      <c r="V1326"/>
      <c r="W1326"/>
    </row>
    <row r="1327" spans="17:23">
      <c r="Q1327" s="275">
        <f t="shared" si="62"/>
        <v>1.2629999999999717</v>
      </c>
      <c r="R1327" s="276">
        <v>1.5</v>
      </c>
      <c r="S1327" s="533"/>
      <c r="T1327"/>
      <c r="U1327"/>
      <c r="V1327"/>
      <c r="W1327"/>
    </row>
    <row r="1328" spans="17:23">
      <c r="Q1328" s="275">
        <f t="shared" si="62"/>
        <v>1.2639999999999716</v>
      </c>
      <c r="R1328" s="276">
        <v>1.5</v>
      </c>
      <c r="S1328" s="533"/>
      <c r="T1328"/>
      <c r="U1328"/>
      <c r="V1328"/>
      <c r="W1328"/>
    </row>
    <row r="1329" spans="17:23">
      <c r="Q1329" s="275">
        <f t="shared" si="62"/>
        <v>1.2649999999999715</v>
      </c>
      <c r="R1329" s="276">
        <v>1.5</v>
      </c>
      <c r="S1329" s="533"/>
      <c r="T1329"/>
      <c r="U1329"/>
      <c r="V1329"/>
      <c r="W1329"/>
    </row>
    <row r="1330" spans="17:23">
      <c r="Q1330" s="275">
        <f t="shared" si="62"/>
        <v>1.2659999999999714</v>
      </c>
      <c r="R1330" s="276">
        <v>1.5</v>
      </c>
      <c r="S1330" s="533"/>
      <c r="T1330"/>
      <c r="U1330"/>
      <c r="V1330"/>
      <c r="W1330"/>
    </row>
    <row r="1331" spans="17:23">
      <c r="Q1331" s="275">
        <f t="shared" si="62"/>
        <v>1.2669999999999713</v>
      </c>
      <c r="R1331" s="276">
        <v>1.5</v>
      </c>
      <c r="S1331" s="533"/>
      <c r="T1331"/>
      <c r="U1331"/>
      <c r="V1331"/>
      <c r="W1331"/>
    </row>
    <row r="1332" spans="17:23">
      <c r="Q1332" s="275">
        <f t="shared" si="62"/>
        <v>1.2679999999999712</v>
      </c>
      <c r="R1332" s="276">
        <v>1.5</v>
      </c>
      <c r="S1332" s="533"/>
      <c r="T1332"/>
      <c r="U1332"/>
      <c r="V1332"/>
      <c r="W1332"/>
    </row>
    <row r="1333" spans="17:23">
      <c r="Q1333" s="275">
        <f t="shared" si="62"/>
        <v>1.268999999999971</v>
      </c>
      <c r="R1333" s="276">
        <v>1.5</v>
      </c>
      <c r="S1333" s="533"/>
      <c r="T1333"/>
      <c r="U1333"/>
      <c r="V1333"/>
      <c r="W1333"/>
    </row>
    <row r="1334" spans="17:23">
      <c r="Q1334" s="275">
        <f t="shared" si="62"/>
        <v>1.2699999999999709</v>
      </c>
      <c r="R1334" s="276">
        <v>1.5</v>
      </c>
      <c r="S1334" s="533"/>
      <c r="T1334"/>
      <c r="U1334"/>
      <c r="V1334"/>
      <c r="W1334"/>
    </row>
    <row r="1335" spans="17:23">
      <c r="Q1335" s="275">
        <f t="shared" si="62"/>
        <v>1.2709999999999708</v>
      </c>
      <c r="R1335" s="276">
        <v>1.5</v>
      </c>
      <c r="S1335" s="533"/>
      <c r="T1335"/>
      <c r="U1335"/>
      <c r="V1335"/>
      <c r="W1335"/>
    </row>
    <row r="1336" spans="17:23">
      <c r="Q1336" s="275">
        <f t="shared" si="62"/>
        <v>1.2719999999999707</v>
      </c>
      <c r="R1336" s="276">
        <v>1.5</v>
      </c>
      <c r="S1336" s="533"/>
      <c r="T1336"/>
      <c r="U1336"/>
      <c r="V1336"/>
      <c r="W1336"/>
    </row>
    <row r="1337" spans="17:23">
      <c r="Q1337" s="275">
        <f t="shared" si="62"/>
        <v>1.2729999999999706</v>
      </c>
      <c r="R1337" s="276">
        <v>1.5</v>
      </c>
      <c r="S1337" s="533"/>
      <c r="T1337"/>
      <c r="U1337"/>
      <c r="V1337"/>
      <c r="W1337"/>
    </row>
    <row r="1338" spans="17:23">
      <c r="Q1338" s="275">
        <f t="shared" si="62"/>
        <v>1.2739999999999705</v>
      </c>
      <c r="R1338" s="276">
        <v>1.5</v>
      </c>
      <c r="S1338" s="533"/>
      <c r="T1338"/>
      <c r="U1338"/>
      <c r="V1338"/>
      <c r="W1338"/>
    </row>
    <row r="1339" spans="17:23">
      <c r="Q1339" s="275">
        <f t="shared" si="62"/>
        <v>1.2749999999999704</v>
      </c>
      <c r="R1339" s="276">
        <v>1.5</v>
      </c>
      <c r="S1339" s="533"/>
      <c r="T1339"/>
      <c r="U1339"/>
      <c r="V1339"/>
      <c r="W1339"/>
    </row>
    <row r="1340" spans="17:23">
      <c r="Q1340" s="275">
        <f t="shared" si="62"/>
        <v>1.2759999999999703</v>
      </c>
      <c r="R1340" s="276">
        <v>1.5</v>
      </c>
      <c r="S1340" s="533"/>
      <c r="T1340"/>
      <c r="U1340"/>
      <c r="V1340"/>
      <c r="W1340"/>
    </row>
    <row r="1341" spans="17:23">
      <c r="Q1341" s="275">
        <f t="shared" si="62"/>
        <v>1.2769999999999702</v>
      </c>
      <c r="R1341" s="276">
        <v>1.5</v>
      </c>
      <c r="S1341" s="533"/>
      <c r="T1341"/>
      <c r="U1341"/>
      <c r="V1341"/>
      <c r="W1341"/>
    </row>
    <row r="1342" spans="17:23">
      <c r="Q1342" s="275">
        <f t="shared" si="62"/>
        <v>1.27799999999997</v>
      </c>
      <c r="R1342" s="276">
        <v>1.5</v>
      </c>
      <c r="S1342" s="533"/>
      <c r="T1342"/>
      <c r="U1342"/>
      <c r="V1342"/>
      <c r="W1342"/>
    </row>
    <row r="1343" spans="17:23">
      <c r="Q1343" s="275">
        <f t="shared" si="62"/>
        <v>1.2789999999999699</v>
      </c>
      <c r="R1343" s="276">
        <v>1.5</v>
      </c>
      <c r="S1343" s="533"/>
      <c r="T1343"/>
      <c r="U1343"/>
      <c r="V1343"/>
      <c r="W1343"/>
    </row>
    <row r="1344" spans="17:23">
      <c r="Q1344" s="275">
        <f t="shared" si="62"/>
        <v>1.2799999999999698</v>
      </c>
      <c r="R1344" s="276">
        <v>1.5</v>
      </c>
      <c r="S1344" s="533"/>
      <c r="T1344"/>
      <c r="U1344"/>
      <c r="V1344"/>
      <c r="W1344"/>
    </row>
    <row r="1345" spans="17:23">
      <c r="Q1345" s="275">
        <f t="shared" ref="Q1345:Q1408" si="63">Q1344+0.001</f>
        <v>1.2809999999999697</v>
      </c>
      <c r="R1345" s="276">
        <v>1.5</v>
      </c>
      <c r="S1345" s="533"/>
      <c r="T1345"/>
      <c r="U1345"/>
      <c r="V1345"/>
      <c r="W1345"/>
    </row>
    <row r="1346" spans="17:23">
      <c r="Q1346" s="275">
        <f t="shared" si="63"/>
        <v>1.2819999999999696</v>
      </c>
      <c r="R1346" s="276">
        <v>1.5</v>
      </c>
      <c r="S1346" s="533"/>
      <c r="T1346"/>
      <c r="U1346"/>
      <c r="V1346"/>
      <c r="W1346"/>
    </row>
    <row r="1347" spans="17:23">
      <c r="Q1347" s="275">
        <f t="shared" si="63"/>
        <v>1.2829999999999695</v>
      </c>
      <c r="R1347" s="276">
        <v>1.5</v>
      </c>
      <c r="S1347" s="533"/>
      <c r="T1347"/>
      <c r="U1347"/>
      <c r="V1347"/>
      <c r="W1347"/>
    </row>
    <row r="1348" spans="17:23">
      <c r="Q1348" s="275">
        <f t="shared" si="63"/>
        <v>1.2839999999999694</v>
      </c>
      <c r="R1348" s="276">
        <v>1.5</v>
      </c>
      <c r="S1348" s="533"/>
      <c r="T1348"/>
      <c r="U1348"/>
      <c r="V1348"/>
      <c r="W1348"/>
    </row>
    <row r="1349" spans="17:23">
      <c r="Q1349" s="275">
        <f t="shared" si="63"/>
        <v>1.2849999999999693</v>
      </c>
      <c r="R1349" s="276">
        <v>1.5</v>
      </c>
      <c r="S1349" s="533"/>
      <c r="T1349"/>
      <c r="U1349"/>
      <c r="V1349"/>
      <c r="W1349"/>
    </row>
    <row r="1350" spans="17:23">
      <c r="Q1350" s="275">
        <f t="shared" si="63"/>
        <v>1.2859999999999692</v>
      </c>
      <c r="R1350" s="276">
        <v>1.5</v>
      </c>
      <c r="S1350" s="533"/>
      <c r="T1350"/>
      <c r="U1350"/>
      <c r="V1350"/>
      <c r="W1350"/>
    </row>
    <row r="1351" spans="17:23">
      <c r="Q1351" s="275">
        <f t="shared" si="63"/>
        <v>1.2869999999999691</v>
      </c>
      <c r="R1351" s="276">
        <v>1.5</v>
      </c>
      <c r="S1351" s="533"/>
      <c r="T1351"/>
      <c r="U1351"/>
      <c r="V1351"/>
      <c r="W1351"/>
    </row>
    <row r="1352" spans="17:23">
      <c r="Q1352" s="275">
        <f t="shared" si="63"/>
        <v>1.2879999999999689</v>
      </c>
      <c r="R1352" s="276">
        <v>1.5</v>
      </c>
      <c r="S1352" s="533"/>
      <c r="T1352"/>
      <c r="U1352"/>
      <c r="V1352"/>
      <c r="W1352"/>
    </row>
    <row r="1353" spans="17:23">
      <c r="Q1353" s="275">
        <f t="shared" si="63"/>
        <v>1.2889999999999688</v>
      </c>
      <c r="R1353" s="276">
        <v>1.5</v>
      </c>
      <c r="S1353" s="533"/>
      <c r="T1353"/>
      <c r="U1353"/>
      <c r="V1353"/>
      <c r="W1353"/>
    </row>
    <row r="1354" spans="17:23">
      <c r="Q1354" s="275">
        <f t="shared" si="63"/>
        <v>1.2899999999999687</v>
      </c>
      <c r="R1354" s="276">
        <v>1.5</v>
      </c>
      <c r="S1354" s="533"/>
      <c r="T1354"/>
      <c r="U1354"/>
      <c r="V1354"/>
      <c r="W1354"/>
    </row>
    <row r="1355" spans="17:23">
      <c r="Q1355" s="275">
        <f t="shared" si="63"/>
        <v>1.2909999999999686</v>
      </c>
      <c r="R1355" s="276">
        <v>1.5</v>
      </c>
      <c r="S1355" s="533"/>
      <c r="T1355"/>
      <c r="U1355"/>
      <c r="V1355"/>
      <c r="W1355"/>
    </row>
    <row r="1356" spans="17:23">
      <c r="Q1356" s="275">
        <f t="shared" si="63"/>
        <v>1.2919999999999685</v>
      </c>
      <c r="R1356" s="276">
        <v>1.5</v>
      </c>
      <c r="S1356" s="533"/>
      <c r="T1356"/>
      <c r="U1356"/>
      <c r="V1356"/>
      <c r="W1356"/>
    </row>
    <row r="1357" spans="17:23">
      <c r="Q1357" s="275">
        <f t="shared" si="63"/>
        <v>1.2929999999999684</v>
      </c>
      <c r="R1357" s="276">
        <v>1.5</v>
      </c>
      <c r="S1357" s="533"/>
      <c r="T1357"/>
      <c r="U1357"/>
      <c r="V1357"/>
      <c r="W1357"/>
    </row>
    <row r="1358" spans="17:23">
      <c r="Q1358" s="275">
        <f t="shared" si="63"/>
        <v>1.2939999999999683</v>
      </c>
      <c r="R1358" s="276">
        <v>1.5</v>
      </c>
      <c r="S1358" s="533"/>
      <c r="T1358"/>
      <c r="U1358"/>
      <c r="V1358"/>
      <c r="W1358"/>
    </row>
    <row r="1359" spans="17:23">
      <c r="Q1359" s="275">
        <f t="shared" si="63"/>
        <v>1.2949999999999682</v>
      </c>
      <c r="R1359" s="276">
        <v>1.5</v>
      </c>
      <c r="S1359" s="533"/>
      <c r="T1359"/>
      <c r="U1359"/>
      <c r="V1359"/>
      <c r="W1359"/>
    </row>
    <row r="1360" spans="17:23">
      <c r="Q1360" s="275">
        <f t="shared" si="63"/>
        <v>1.2959999999999681</v>
      </c>
      <c r="R1360" s="276">
        <v>1.5</v>
      </c>
      <c r="S1360" s="533"/>
      <c r="T1360"/>
      <c r="U1360"/>
      <c r="V1360"/>
      <c r="W1360"/>
    </row>
    <row r="1361" spans="17:23">
      <c r="Q1361" s="275">
        <f t="shared" si="63"/>
        <v>1.296999999999968</v>
      </c>
      <c r="R1361" s="276">
        <v>1.5</v>
      </c>
      <c r="S1361" s="533"/>
      <c r="T1361"/>
      <c r="U1361"/>
      <c r="V1361"/>
      <c r="W1361"/>
    </row>
    <row r="1362" spans="17:23">
      <c r="Q1362" s="275">
        <f t="shared" si="63"/>
        <v>1.2979999999999678</v>
      </c>
      <c r="R1362" s="276">
        <v>1.5</v>
      </c>
      <c r="S1362" s="533"/>
      <c r="T1362"/>
      <c r="U1362"/>
      <c r="V1362"/>
      <c r="W1362"/>
    </row>
    <row r="1363" spans="17:23">
      <c r="Q1363" s="275">
        <f t="shared" si="63"/>
        <v>1.2989999999999677</v>
      </c>
      <c r="R1363" s="276">
        <v>1.5</v>
      </c>
      <c r="S1363" s="533"/>
      <c r="T1363"/>
      <c r="U1363"/>
      <c r="V1363"/>
      <c r="W1363"/>
    </row>
    <row r="1364" spans="17:23">
      <c r="Q1364" s="275">
        <f t="shared" si="63"/>
        <v>1.2999999999999676</v>
      </c>
      <c r="R1364" s="276">
        <v>1.5</v>
      </c>
      <c r="S1364" s="533"/>
      <c r="T1364"/>
      <c r="U1364"/>
      <c r="V1364"/>
      <c r="W1364"/>
    </row>
    <row r="1365" spans="17:23">
      <c r="Q1365" s="275">
        <f t="shared" si="63"/>
        <v>1.3009999999999675</v>
      </c>
      <c r="R1365" s="276">
        <v>1.5</v>
      </c>
      <c r="S1365" s="533"/>
      <c r="T1365"/>
      <c r="U1365"/>
      <c r="V1365"/>
      <c r="W1365"/>
    </row>
    <row r="1366" spans="17:23">
      <c r="Q1366" s="275">
        <f t="shared" si="63"/>
        <v>1.3019999999999674</v>
      </c>
      <c r="R1366" s="276">
        <v>1.5</v>
      </c>
      <c r="S1366" s="533"/>
      <c r="T1366"/>
      <c r="U1366"/>
      <c r="V1366"/>
      <c r="W1366"/>
    </row>
    <row r="1367" spans="17:23">
      <c r="Q1367" s="275">
        <f t="shared" si="63"/>
        <v>1.3029999999999673</v>
      </c>
      <c r="R1367" s="276">
        <v>1.5</v>
      </c>
      <c r="S1367" s="533"/>
      <c r="T1367"/>
      <c r="U1367"/>
      <c r="V1367"/>
      <c r="W1367"/>
    </row>
    <row r="1368" spans="17:23">
      <c r="Q1368" s="275">
        <f t="shared" si="63"/>
        <v>1.3039999999999672</v>
      </c>
      <c r="R1368" s="276">
        <v>1.5</v>
      </c>
      <c r="S1368" s="533"/>
      <c r="T1368"/>
      <c r="U1368"/>
      <c r="V1368"/>
      <c r="W1368"/>
    </row>
    <row r="1369" spans="17:23">
      <c r="Q1369" s="275">
        <f t="shared" si="63"/>
        <v>1.3049999999999671</v>
      </c>
      <c r="R1369" s="276">
        <v>1.5</v>
      </c>
      <c r="S1369" s="533"/>
      <c r="T1369"/>
      <c r="U1369"/>
      <c r="V1369"/>
      <c r="W1369"/>
    </row>
    <row r="1370" spans="17:23">
      <c r="Q1370" s="275">
        <f t="shared" si="63"/>
        <v>1.305999999999967</v>
      </c>
      <c r="R1370" s="276">
        <v>1.5</v>
      </c>
      <c r="S1370" s="533"/>
      <c r="T1370"/>
      <c r="U1370"/>
      <c r="V1370"/>
      <c r="W1370"/>
    </row>
    <row r="1371" spans="17:23">
      <c r="Q1371" s="275">
        <f t="shared" si="63"/>
        <v>1.3069999999999669</v>
      </c>
      <c r="R1371" s="276">
        <v>1.5</v>
      </c>
      <c r="S1371" s="533"/>
      <c r="T1371"/>
      <c r="U1371"/>
      <c r="V1371"/>
      <c r="W1371"/>
    </row>
    <row r="1372" spans="17:23">
      <c r="Q1372" s="275">
        <f t="shared" si="63"/>
        <v>1.3079999999999667</v>
      </c>
      <c r="R1372" s="276">
        <v>1.5</v>
      </c>
      <c r="S1372" s="533"/>
      <c r="T1372"/>
      <c r="U1372"/>
      <c r="V1372"/>
      <c r="W1372"/>
    </row>
    <row r="1373" spans="17:23">
      <c r="Q1373" s="275">
        <f t="shared" si="63"/>
        <v>1.3089999999999666</v>
      </c>
      <c r="R1373" s="276">
        <v>1.5</v>
      </c>
      <c r="S1373" s="533"/>
      <c r="T1373"/>
      <c r="U1373"/>
      <c r="V1373"/>
      <c r="W1373"/>
    </row>
    <row r="1374" spans="17:23">
      <c r="Q1374" s="275">
        <f t="shared" si="63"/>
        <v>1.3099999999999665</v>
      </c>
      <c r="R1374" s="276">
        <v>1.5</v>
      </c>
      <c r="S1374" s="533"/>
      <c r="T1374"/>
      <c r="U1374"/>
      <c r="V1374"/>
      <c r="W1374"/>
    </row>
    <row r="1375" spans="17:23">
      <c r="Q1375" s="275">
        <f t="shared" si="63"/>
        <v>1.3109999999999664</v>
      </c>
      <c r="R1375" s="276">
        <v>1.5</v>
      </c>
      <c r="S1375" s="533"/>
      <c r="T1375"/>
      <c r="U1375"/>
      <c r="V1375"/>
      <c r="W1375"/>
    </row>
    <row r="1376" spans="17:23">
      <c r="Q1376" s="275">
        <f t="shared" si="63"/>
        <v>1.3119999999999663</v>
      </c>
      <c r="R1376" s="276">
        <v>1.5</v>
      </c>
      <c r="S1376" s="533"/>
      <c r="T1376"/>
      <c r="U1376"/>
      <c r="V1376"/>
      <c r="W1376"/>
    </row>
    <row r="1377" spans="17:23">
      <c r="Q1377" s="275">
        <f t="shared" si="63"/>
        <v>1.3129999999999662</v>
      </c>
      <c r="R1377" s="276">
        <v>1.5</v>
      </c>
      <c r="S1377" s="533"/>
      <c r="T1377"/>
      <c r="U1377"/>
      <c r="V1377"/>
      <c r="W1377"/>
    </row>
    <row r="1378" spans="17:23">
      <c r="Q1378" s="275">
        <f t="shared" si="63"/>
        <v>1.3139999999999661</v>
      </c>
      <c r="R1378" s="276">
        <v>1.5</v>
      </c>
      <c r="S1378" s="533"/>
      <c r="T1378"/>
      <c r="U1378"/>
      <c r="V1378"/>
      <c r="W1378"/>
    </row>
    <row r="1379" spans="17:23">
      <c r="Q1379" s="275">
        <f t="shared" si="63"/>
        <v>1.314999999999966</v>
      </c>
      <c r="R1379" s="276">
        <v>1.5</v>
      </c>
      <c r="S1379" s="533"/>
      <c r="T1379"/>
      <c r="U1379"/>
      <c r="V1379"/>
      <c r="W1379"/>
    </row>
    <row r="1380" spans="17:23">
      <c r="Q1380" s="275">
        <f t="shared" si="63"/>
        <v>1.3159999999999659</v>
      </c>
      <c r="R1380" s="276">
        <v>1.5</v>
      </c>
      <c r="S1380" s="533"/>
      <c r="T1380"/>
      <c r="U1380"/>
      <c r="V1380"/>
      <c r="W1380"/>
    </row>
    <row r="1381" spans="17:23">
      <c r="Q1381" s="275">
        <f t="shared" si="63"/>
        <v>1.3169999999999658</v>
      </c>
      <c r="R1381" s="276">
        <v>1.5</v>
      </c>
      <c r="S1381" s="533"/>
      <c r="T1381"/>
      <c r="U1381"/>
      <c r="V1381"/>
      <c r="W1381"/>
    </row>
    <row r="1382" spans="17:23">
      <c r="Q1382" s="275">
        <f t="shared" si="63"/>
        <v>1.3179999999999656</v>
      </c>
      <c r="R1382" s="276">
        <v>1.5</v>
      </c>
      <c r="S1382" s="533"/>
      <c r="T1382"/>
      <c r="U1382"/>
      <c r="V1382"/>
      <c r="W1382"/>
    </row>
    <row r="1383" spans="17:23">
      <c r="Q1383" s="275">
        <f t="shared" si="63"/>
        <v>1.3189999999999655</v>
      </c>
      <c r="R1383" s="276">
        <v>1.5</v>
      </c>
      <c r="S1383" s="533"/>
      <c r="T1383"/>
      <c r="U1383"/>
      <c r="V1383"/>
      <c r="W1383"/>
    </row>
    <row r="1384" spans="17:23">
      <c r="Q1384" s="275">
        <f t="shared" si="63"/>
        <v>1.3199999999999654</v>
      </c>
      <c r="R1384" s="276">
        <v>1.5</v>
      </c>
      <c r="S1384" s="533"/>
      <c r="T1384"/>
      <c r="U1384"/>
      <c r="V1384"/>
      <c r="W1384"/>
    </row>
    <row r="1385" spans="17:23">
      <c r="Q1385" s="275">
        <f t="shared" si="63"/>
        <v>1.3209999999999653</v>
      </c>
      <c r="R1385" s="276">
        <v>1.5</v>
      </c>
      <c r="S1385" s="533"/>
      <c r="T1385"/>
      <c r="U1385"/>
      <c r="V1385"/>
      <c r="W1385"/>
    </row>
    <row r="1386" spans="17:23">
      <c r="Q1386" s="275">
        <f t="shared" si="63"/>
        <v>1.3219999999999652</v>
      </c>
      <c r="R1386" s="276">
        <v>1.5</v>
      </c>
      <c r="S1386" s="533"/>
      <c r="T1386"/>
      <c r="U1386"/>
      <c r="V1386"/>
      <c r="W1386"/>
    </row>
    <row r="1387" spans="17:23">
      <c r="Q1387" s="275">
        <f t="shared" si="63"/>
        <v>1.3229999999999651</v>
      </c>
      <c r="R1387" s="276">
        <v>1.5</v>
      </c>
      <c r="S1387" s="533"/>
      <c r="T1387"/>
      <c r="U1387"/>
      <c r="V1387"/>
      <c r="W1387"/>
    </row>
    <row r="1388" spans="17:23">
      <c r="Q1388" s="275">
        <f t="shared" si="63"/>
        <v>1.323999999999965</v>
      </c>
      <c r="R1388" s="276">
        <v>1.5</v>
      </c>
      <c r="S1388" s="533"/>
      <c r="T1388"/>
      <c r="U1388"/>
      <c r="V1388"/>
      <c r="W1388"/>
    </row>
    <row r="1389" spans="17:23">
      <c r="Q1389" s="275">
        <f t="shared" si="63"/>
        <v>1.3249999999999649</v>
      </c>
      <c r="R1389" s="276">
        <v>1.5</v>
      </c>
      <c r="S1389" s="533"/>
      <c r="T1389"/>
      <c r="U1389"/>
      <c r="V1389"/>
      <c r="W1389"/>
    </row>
    <row r="1390" spans="17:23">
      <c r="Q1390" s="275">
        <f t="shared" si="63"/>
        <v>1.3259999999999648</v>
      </c>
      <c r="R1390" s="276">
        <v>1.5</v>
      </c>
      <c r="S1390" s="533"/>
      <c r="T1390"/>
      <c r="U1390"/>
      <c r="V1390"/>
      <c r="W1390"/>
    </row>
    <row r="1391" spans="17:23">
      <c r="Q1391" s="275">
        <f t="shared" si="63"/>
        <v>1.3269999999999647</v>
      </c>
      <c r="R1391" s="276">
        <v>1.5</v>
      </c>
      <c r="S1391" s="533"/>
      <c r="T1391"/>
      <c r="U1391"/>
      <c r="V1391"/>
      <c r="W1391"/>
    </row>
    <row r="1392" spans="17:23">
      <c r="Q1392" s="275">
        <f t="shared" si="63"/>
        <v>1.3279999999999645</v>
      </c>
      <c r="R1392" s="276">
        <v>1.5</v>
      </c>
      <c r="S1392" s="533"/>
      <c r="T1392"/>
      <c r="U1392"/>
      <c r="V1392"/>
      <c r="W1392"/>
    </row>
    <row r="1393" spans="17:23">
      <c r="Q1393" s="275">
        <f t="shared" si="63"/>
        <v>1.3289999999999644</v>
      </c>
      <c r="R1393" s="276">
        <v>1.5</v>
      </c>
      <c r="S1393" s="533"/>
      <c r="T1393"/>
      <c r="U1393"/>
      <c r="V1393"/>
      <c r="W1393"/>
    </row>
    <row r="1394" spans="17:23">
      <c r="Q1394" s="275">
        <f t="shared" si="63"/>
        <v>1.3299999999999643</v>
      </c>
      <c r="R1394" s="276">
        <v>1.5</v>
      </c>
      <c r="S1394" s="533"/>
      <c r="T1394"/>
      <c r="U1394"/>
      <c r="V1394"/>
      <c r="W1394"/>
    </row>
    <row r="1395" spans="17:23">
      <c r="Q1395" s="275">
        <f t="shared" si="63"/>
        <v>1.3309999999999642</v>
      </c>
      <c r="R1395" s="276">
        <v>1.5</v>
      </c>
      <c r="S1395" s="533"/>
      <c r="T1395"/>
      <c r="U1395"/>
      <c r="V1395"/>
      <c r="W1395"/>
    </row>
    <row r="1396" spans="17:23">
      <c r="Q1396" s="275">
        <f t="shared" si="63"/>
        <v>1.3319999999999641</v>
      </c>
      <c r="R1396" s="276">
        <v>1.5</v>
      </c>
      <c r="S1396" s="533"/>
      <c r="T1396"/>
      <c r="U1396"/>
      <c r="V1396"/>
      <c r="W1396"/>
    </row>
    <row r="1397" spans="17:23">
      <c r="Q1397" s="275">
        <f t="shared" si="63"/>
        <v>1.332999999999964</v>
      </c>
      <c r="R1397" s="276">
        <v>1.5</v>
      </c>
      <c r="S1397" s="533"/>
      <c r="T1397"/>
      <c r="U1397"/>
      <c r="V1397"/>
      <c r="W1397"/>
    </row>
    <row r="1398" spans="17:23">
      <c r="Q1398" s="275">
        <f t="shared" si="63"/>
        <v>1.3339999999999639</v>
      </c>
      <c r="R1398" s="276">
        <v>1.5</v>
      </c>
      <c r="S1398" s="533"/>
      <c r="T1398"/>
      <c r="U1398"/>
      <c r="V1398"/>
      <c r="W1398"/>
    </row>
    <row r="1399" spans="17:23">
      <c r="Q1399" s="275">
        <f t="shared" si="63"/>
        <v>1.3349999999999638</v>
      </c>
      <c r="R1399" s="276">
        <v>1.5</v>
      </c>
      <c r="S1399" s="533"/>
      <c r="T1399"/>
      <c r="U1399"/>
      <c r="V1399"/>
      <c r="W1399"/>
    </row>
    <row r="1400" spans="17:23">
      <c r="Q1400" s="275">
        <f t="shared" si="63"/>
        <v>1.3359999999999637</v>
      </c>
      <c r="R1400" s="276">
        <v>1.5</v>
      </c>
      <c r="S1400" s="533"/>
      <c r="T1400"/>
      <c r="U1400"/>
      <c r="V1400"/>
      <c r="W1400"/>
    </row>
    <row r="1401" spans="17:23">
      <c r="Q1401" s="275">
        <f t="shared" si="63"/>
        <v>1.3369999999999636</v>
      </c>
      <c r="R1401" s="276">
        <v>1.5</v>
      </c>
      <c r="S1401" s="533"/>
      <c r="T1401"/>
      <c r="U1401"/>
      <c r="V1401"/>
      <c r="W1401"/>
    </row>
    <row r="1402" spans="17:23">
      <c r="Q1402" s="275">
        <f t="shared" si="63"/>
        <v>1.3379999999999634</v>
      </c>
      <c r="R1402" s="276">
        <v>1.5</v>
      </c>
      <c r="S1402" s="533"/>
      <c r="T1402"/>
      <c r="U1402"/>
      <c r="V1402"/>
      <c r="W1402"/>
    </row>
    <row r="1403" spans="17:23">
      <c r="Q1403" s="275">
        <f t="shared" si="63"/>
        <v>1.3389999999999633</v>
      </c>
      <c r="R1403" s="276">
        <v>1.5</v>
      </c>
      <c r="S1403" s="533"/>
      <c r="T1403"/>
      <c r="U1403"/>
      <c r="V1403"/>
      <c r="W1403"/>
    </row>
    <row r="1404" spans="17:23">
      <c r="Q1404" s="275">
        <f t="shared" si="63"/>
        <v>1.3399999999999632</v>
      </c>
      <c r="R1404" s="276">
        <v>1.5</v>
      </c>
      <c r="S1404" s="533"/>
      <c r="T1404"/>
      <c r="U1404"/>
      <c r="V1404"/>
      <c r="W1404"/>
    </row>
    <row r="1405" spans="17:23">
      <c r="Q1405" s="275">
        <f t="shared" si="63"/>
        <v>1.3409999999999631</v>
      </c>
      <c r="R1405" s="276">
        <v>1.5</v>
      </c>
      <c r="S1405" s="533"/>
      <c r="T1405"/>
      <c r="U1405"/>
      <c r="V1405"/>
      <c r="W1405"/>
    </row>
    <row r="1406" spans="17:23">
      <c r="Q1406" s="275">
        <f t="shared" si="63"/>
        <v>1.341999999999963</v>
      </c>
      <c r="R1406" s="276">
        <v>1.5</v>
      </c>
      <c r="S1406" s="533"/>
      <c r="T1406"/>
      <c r="U1406"/>
      <c r="V1406"/>
      <c r="W1406"/>
    </row>
    <row r="1407" spans="17:23">
      <c r="Q1407" s="275">
        <f t="shared" si="63"/>
        <v>1.3429999999999629</v>
      </c>
      <c r="R1407" s="276">
        <v>1.5</v>
      </c>
      <c r="S1407" s="533"/>
      <c r="T1407"/>
      <c r="U1407"/>
      <c r="V1407"/>
      <c r="W1407"/>
    </row>
    <row r="1408" spans="17:23">
      <c r="Q1408" s="275">
        <f t="shared" si="63"/>
        <v>1.3439999999999628</v>
      </c>
      <c r="R1408" s="276">
        <v>1.5</v>
      </c>
      <c r="S1408" s="533"/>
      <c r="T1408"/>
      <c r="U1408"/>
      <c r="V1408"/>
      <c r="W1408"/>
    </row>
    <row r="1409" spans="17:23">
      <c r="Q1409" s="275">
        <f t="shared" ref="Q1409:Q1472" si="64">Q1408+0.001</f>
        <v>1.3449999999999627</v>
      </c>
      <c r="R1409" s="276">
        <v>1.5</v>
      </c>
      <c r="S1409" s="533"/>
      <c r="T1409"/>
      <c r="U1409"/>
      <c r="V1409"/>
      <c r="W1409"/>
    </row>
    <row r="1410" spans="17:23">
      <c r="Q1410" s="275">
        <f t="shared" si="64"/>
        <v>1.3459999999999626</v>
      </c>
      <c r="R1410" s="276">
        <v>1.5</v>
      </c>
      <c r="S1410" s="533"/>
      <c r="T1410"/>
      <c r="U1410"/>
      <c r="V1410"/>
      <c r="W1410"/>
    </row>
    <row r="1411" spans="17:23">
      <c r="Q1411" s="275">
        <f t="shared" si="64"/>
        <v>1.3469999999999624</v>
      </c>
      <c r="R1411" s="276">
        <v>1.5</v>
      </c>
      <c r="S1411" s="533"/>
      <c r="T1411"/>
      <c r="U1411"/>
      <c r="V1411"/>
      <c r="W1411"/>
    </row>
    <row r="1412" spans="17:23">
      <c r="Q1412" s="275">
        <f t="shared" si="64"/>
        <v>1.3479999999999623</v>
      </c>
      <c r="R1412" s="276">
        <v>1.5</v>
      </c>
      <c r="S1412" s="533"/>
      <c r="T1412"/>
      <c r="U1412"/>
      <c r="V1412"/>
      <c r="W1412"/>
    </row>
    <row r="1413" spans="17:23">
      <c r="Q1413" s="275">
        <f t="shared" si="64"/>
        <v>1.3489999999999622</v>
      </c>
      <c r="R1413" s="276">
        <v>1.5</v>
      </c>
      <c r="S1413" s="533"/>
      <c r="T1413"/>
      <c r="U1413"/>
      <c r="V1413"/>
      <c r="W1413"/>
    </row>
    <row r="1414" spans="17:23">
      <c r="Q1414" s="275">
        <f t="shared" si="64"/>
        <v>1.3499999999999621</v>
      </c>
      <c r="R1414" s="276">
        <v>1.5</v>
      </c>
      <c r="S1414" s="533"/>
      <c r="T1414"/>
      <c r="U1414"/>
      <c r="V1414"/>
      <c r="W1414"/>
    </row>
    <row r="1415" spans="17:23">
      <c r="Q1415" s="275">
        <f t="shared" si="64"/>
        <v>1.350999999999962</v>
      </c>
      <c r="R1415" s="276">
        <v>1.5</v>
      </c>
      <c r="S1415" s="533"/>
      <c r="T1415"/>
      <c r="U1415"/>
      <c r="V1415"/>
      <c r="W1415"/>
    </row>
    <row r="1416" spans="17:23">
      <c r="Q1416" s="275">
        <f t="shared" si="64"/>
        <v>1.3519999999999619</v>
      </c>
      <c r="R1416" s="276">
        <v>1.5</v>
      </c>
      <c r="S1416" s="533"/>
      <c r="T1416"/>
      <c r="U1416"/>
      <c r="V1416"/>
      <c r="W1416"/>
    </row>
    <row r="1417" spans="17:23">
      <c r="Q1417" s="275">
        <f t="shared" si="64"/>
        <v>1.3529999999999618</v>
      </c>
      <c r="R1417" s="276">
        <v>1.5</v>
      </c>
      <c r="S1417" s="533"/>
      <c r="T1417"/>
      <c r="U1417"/>
      <c r="V1417"/>
      <c r="W1417"/>
    </row>
    <row r="1418" spans="17:23">
      <c r="Q1418" s="275">
        <f t="shared" si="64"/>
        <v>1.3539999999999617</v>
      </c>
      <c r="R1418" s="276">
        <v>1.5</v>
      </c>
      <c r="S1418" s="533"/>
      <c r="T1418"/>
      <c r="U1418"/>
      <c r="V1418"/>
      <c r="W1418"/>
    </row>
    <row r="1419" spans="17:23">
      <c r="Q1419" s="275">
        <f t="shared" si="64"/>
        <v>1.3549999999999616</v>
      </c>
      <c r="R1419" s="276">
        <v>1.5</v>
      </c>
      <c r="S1419" s="533"/>
      <c r="T1419"/>
      <c r="U1419"/>
      <c r="V1419"/>
      <c r="W1419"/>
    </row>
    <row r="1420" spans="17:23">
      <c r="Q1420" s="275">
        <f t="shared" si="64"/>
        <v>1.3559999999999615</v>
      </c>
      <c r="R1420" s="276">
        <v>1.5</v>
      </c>
      <c r="S1420" s="533"/>
      <c r="T1420"/>
      <c r="U1420"/>
      <c r="V1420"/>
      <c r="W1420"/>
    </row>
    <row r="1421" spans="17:23">
      <c r="Q1421" s="275">
        <f t="shared" si="64"/>
        <v>1.3569999999999613</v>
      </c>
      <c r="R1421" s="276">
        <v>1.5</v>
      </c>
      <c r="S1421" s="533"/>
      <c r="T1421"/>
      <c r="U1421"/>
      <c r="V1421"/>
      <c r="W1421"/>
    </row>
    <row r="1422" spans="17:23">
      <c r="Q1422" s="275">
        <f t="shared" si="64"/>
        <v>1.3579999999999612</v>
      </c>
      <c r="R1422" s="276">
        <v>1.5</v>
      </c>
      <c r="S1422" s="533"/>
      <c r="T1422"/>
      <c r="U1422"/>
      <c r="V1422"/>
      <c r="W1422"/>
    </row>
    <row r="1423" spans="17:23">
      <c r="Q1423" s="275">
        <f t="shared" si="64"/>
        <v>1.3589999999999611</v>
      </c>
      <c r="R1423" s="276">
        <v>1.5</v>
      </c>
      <c r="S1423" s="533"/>
      <c r="T1423"/>
      <c r="U1423"/>
      <c r="V1423"/>
      <c r="W1423"/>
    </row>
    <row r="1424" spans="17:23">
      <c r="Q1424" s="275">
        <f t="shared" si="64"/>
        <v>1.359999999999961</v>
      </c>
      <c r="R1424" s="276">
        <v>1.5</v>
      </c>
      <c r="S1424" s="533"/>
      <c r="T1424"/>
      <c r="U1424"/>
      <c r="V1424"/>
      <c r="W1424"/>
    </row>
    <row r="1425" spans="17:23">
      <c r="Q1425" s="275">
        <f t="shared" si="64"/>
        <v>1.3609999999999609</v>
      </c>
      <c r="R1425" s="276">
        <v>1.5</v>
      </c>
      <c r="S1425" s="533"/>
      <c r="T1425"/>
      <c r="U1425"/>
      <c r="V1425"/>
      <c r="W1425"/>
    </row>
    <row r="1426" spans="17:23">
      <c r="Q1426" s="275">
        <f t="shared" si="64"/>
        <v>1.3619999999999608</v>
      </c>
      <c r="R1426" s="276">
        <v>1.5</v>
      </c>
      <c r="S1426" s="533"/>
      <c r="T1426"/>
      <c r="U1426"/>
      <c r="V1426"/>
      <c r="W1426"/>
    </row>
    <row r="1427" spans="17:23">
      <c r="Q1427" s="275">
        <f t="shared" si="64"/>
        <v>1.3629999999999607</v>
      </c>
      <c r="R1427" s="276">
        <v>1.5</v>
      </c>
      <c r="S1427" s="533"/>
      <c r="T1427"/>
      <c r="U1427"/>
      <c r="V1427"/>
      <c r="W1427"/>
    </row>
    <row r="1428" spans="17:23">
      <c r="Q1428" s="275">
        <f t="shared" si="64"/>
        <v>1.3639999999999606</v>
      </c>
      <c r="R1428" s="276">
        <v>1.5</v>
      </c>
      <c r="S1428" s="533"/>
      <c r="T1428"/>
      <c r="U1428"/>
      <c r="V1428"/>
      <c r="W1428"/>
    </row>
    <row r="1429" spans="17:23">
      <c r="Q1429" s="275">
        <f t="shared" si="64"/>
        <v>1.3649999999999605</v>
      </c>
      <c r="R1429" s="276">
        <v>1.5</v>
      </c>
      <c r="S1429" s="533"/>
      <c r="T1429"/>
      <c r="U1429"/>
      <c r="V1429"/>
      <c r="W1429"/>
    </row>
    <row r="1430" spans="17:23">
      <c r="Q1430" s="275">
        <f t="shared" si="64"/>
        <v>1.3659999999999604</v>
      </c>
      <c r="R1430" s="276">
        <v>1.5</v>
      </c>
      <c r="S1430" s="533"/>
      <c r="T1430"/>
      <c r="U1430"/>
      <c r="V1430"/>
      <c r="W1430"/>
    </row>
    <row r="1431" spans="17:23">
      <c r="Q1431" s="275">
        <f t="shared" si="64"/>
        <v>1.3669999999999602</v>
      </c>
      <c r="R1431" s="276">
        <v>1.5</v>
      </c>
      <c r="S1431" s="533"/>
      <c r="T1431"/>
      <c r="U1431"/>
      <c r="V1431"/>
      <c r="W1431"/>
    </row>
    <row r="1432" spans="17:23">
      <c r="Q1432" s="275">
        <f t="shared" si="64"/>
        <v>1.3679999999999601</v>
      </c>
      <c r="R1432" s="276">
        <v>1.5</v>
      </c>
      <c r="S1432" s="533"/>
      <c r="T1432"/>
      <c r="U1432"/>
      <c r="V1432"/>
      <c r="W1432"/>
    </row>
    <row r="1433" spans="17:23">
      <c r="Q1433" s="275">
        <f t="shared" si="64"/>
        <v>1.36899999999996</v>
      </c>
      <c r="R1433" s="276">
        <v>1.5</v>
      </c>
      <c r="S1433" s="533"/>
      <c r="T1433"/>
      <c r="U1433"/>
      <c r="V1433"/>
      <c r="W1433"/>
    </row>
    <row r="1434" spans="17:23">
      <c r="Q1434" s="275">
        <f t="shared" si="64"/>
        <v>1.3699999999999599</v>
      </c>
      <c r="R1434" s="276">
        <v>1.5</v>
      </c>
      <c r="S1434" s="533"/>
      <c r="T1434"/>
      <c r="U1434"/>
      <c r="V1434"/>
      <c r="W1434"/>
    </row>
    <row r="1435" spans="17:23">
      <c r="Q1435" s="275">
        <f t="shared" si="64"/>
        <v>1.3709999999999598</v>
      </c>
      <c r="R1435" s="276">
        <v>1.5</v>
      </c>
      <c r="S1435" s="533"/>
      <c r="T1435"/>
      <c r="U1435"/>
      <c r="V1435"/>
      <c r="W1435"/>
    </row>
    <row r="1436" spans="17:23">
      <c r="Q1436" s="275">
        <f t="shared" si="64"/>
        <v>1.3719999999999597</v>
      </c>
      <c r="R1436" s="276">
        <v>1.5</v>
      </c>
      <c r="S1436" s="533"/>
      <c r="T1436"/>
      <c r="U1436"/>
      <c r="V1436"/>
      <c r="W1436"/>
    </row>
    <row r="1437" spans="17:23">
      <c r="Q1437" s="275">
        <f t="shared" si="64"/>
        <v>1.3729999999999596</v>
      </c>
      <c r="R1437" s="276">
        <v>1.5</v>
      </c>
      <c r="S1437" s="533"/>
      <c r="T1437"/>
      <c r="U1437"/>
      <c r="V1437"/>
      <c r="W1437"/>
    </row>
    <row r="1438" spans="17:23">
      <c r="Q1438" s="275">
        <f t="shared" si="64"/>
        <v>1.3739999999999595</v>
      </c>
      <c r="R1438" s="276">
        <v>1.5</v>
      </c>
      <c r="S1438" s="533"/>
      <c r="T1438"/>
      <c r="U1438"/>
      <c r="V1438"/>
      <c r="W1438"/>
    </row>
    <row r="1439" spans="17:23">
      <c r="Q1439" s="275">
        <f t="shared" si="64"/>
        <v>1.3749999999999594</v>
      </c>
      <c r="R1439" s="276">
        <v>1.5</v>
      </c>
      <c r="S1439" s="533"/>
      <c r="T1439"/>
      <c r="U1439"/>
      <c r="V1439"/>
      <c r="W1439"/>
    </row>
    <row r="1440" spans="17:23">
      <c r="Q1440" s="275">
        <f t="shared" si="64"/>
        <v>1.3759999999999593</v>
      </c>
      <c r="R1440" s="276">
        <v>1.5</v>
      </c>
      <c r="S1440" s="533"/>
      <c r="T1440"/>
      <c r="U1440"/>
      <c r="V1440"/>
      <c r="W1440"/>
    </row>
    <row r="1441" spans="17:23">
      <c r="Q1441" s="275">
        <f t="shared" si="64"/>
        <v>1.3769999999999591</v>
      </c>
      <c r="R1441" s="276">
        <v>1.5</v>
      </c>
      <c r="S1441" s="533"/>
      <c r="T1441"/>
      <c r="U1441"/>
      <c r="V1441"/>
      <c r="W1441"/>
    </row>
    <row r="1442" spans="17:23">
      <c r="Q1442" s="275">
        <f t="shared" si="64"/>
        <v>1.377999999999959</v>
      </c>
      <c r="R1442" s="276">
        <v>1.5</v>
      </c>
      <c r="S1442" s="533"/>
      <c r="T1442"/>
      <c r="U1442"/>
      <c r="V1442"/>
      <c r="W1442"/>
    </row>
    <row r="1443" spans="17:23">
      <c r="Q1443" s="275">
        <f t="shared" si="64"/>
        <v>1.3789999999999589</v>
      </c>
      <c r="R1443" s="276">
        <v>1.5</v>
      </c>
      <c r="S1443" s="533"/>
      <c r="T1443"/>
      <c r="U1443"/>
      <c r="V1443"/>
      <c r="W1443"/>
    </row>
    <row r="1444" spans="17:23">
      <c r="Q1444" s="275">
        <f t="shared" si="64"/>
        <v>1.3799999999999588</v>
      </c>
      <c r="R1444" s="276">
        <v>1.5</v>
      </c>
      <c r="S1444" s="533"/>
      <c r="T1444"/>
      <c r="U1444"/>
      <c r="V1444"/>
      <c r="W1444"/>
    </row>
    <row r="1445" spans="17:23">
      <c r="Q1445" s="275">
        <f t="shared" si="64"/>
        <v>1.3809999999999587</v>
      </c>
      <c r="R1445" s="276">
        <v>1.5</v>
      </c>
      <c r="S1445" s="533"/>
      <c r="T1445"/>
      <c r="U1445"/>
      <c r="V1445"/>
      <c r="W1445"/>
    </row>
    <row r="1446" spans="17:23">
      <c r="Q1446" s="275">
        <f t="shared" si="64"/>
        <v>1.3819999999999586</v>
      </c>
      <c r="R1446" s="276">
        <v>1.5</v>
      </c>
      <c r="S1446" s="533"/>
      <c r="T1446"/>
      <c r="U1446"/>
      <c r="V1446"/>
      <c r="W1446"/>
    </row>
    <row r="1447" spans="17:23">
      <c r="Q1447" s="275">
        <f t="shared" si="64"/>
        <v>1.3829999999999585</v>
      </c>
      <c r="R1447" s="276">
        <v>1.5</v>
      </c>
      <c r="S1447" s="533"/>
      <c r="T1447"/>
      <c r="U1447"/>
      <c r="V1447"/>
      <c r="W1447"/>
    </row>
    <row r="1448" spans="17:23">
      <c r="Q1448" s="275">
        <f t="shared" si="64"/>
        <v>1.3839999999999584</v>
      </c>
      <c r="R1448" s="276">
        <v>1.5</v>
      </c>
      <c r="S1448" s="533"/>
      <c r="T1448"/>
      <c r="U1448"/>
      <c r="V1448"/>
      <c r="W1448"/>
    </row>
    <row r="1449" spans="17:23">
      <c r="Q1449" s="275">
        <f t="shared" si="64"/>
        <v>1.3849999999999583</v>
      </c>
      <c r="R1449" s="276">
        <v>1.5</v>
      </c>
      <c r="S1449" s="533"/>
      <c r="T1449"/>
      <c r="U1449"/>
      <c r="V1449"/>
      <c r="W1449"/>
    </row>
    <row r="1450" spans="17:23">
      <c r="Q1450" s="275">
        <f t="shared" si="64"/>
        <v>1.3859999999999582</v>
      </c>
      <c r="R1450" s="276">
        <v>1.5</v>
      </c>
      <c r="S1450" s="533"/>
      <c r="T1450"/>
      <c r="U1450"/>
      <c r="V1450"/>
      <c r="W1450"/>
    </row>
    <row r="1451" spans="17:23">
      <c r="Q1451" s="275">
        <f t="shared" si="64"/>
        <v>1.386999999999958</v>
      </c>
      <c r="R1451" s="276">
        <v>1.5</v>
      </c>
      <c r="S1451" s="533"/>
      <c r="T1451"/>
      <c r="U1451"/>
      <c r="V1451"/>
      <c r="W1451"/>
    </row>
    <row r="1452" spans="17:23">
      <c r="Q1452" s="275">
        <f t="shared" si="64"/>
        <v>1.3879999999999579</v>
      </c>
      <c r="R1452" s="276">
        <v>1.5</v>
      </c>
      <c r="S1452" s="533"/>
      <c r="T1452"/>
      <c r="U1452"/>
      <c r="V1452"/>
      <c r="W1452"/>
    </row>
    <row r="1453" spans="17:23">
      <c r="Q1453" s="275">
        <f t="shared" si="64"/>
        <v>1.3889999999999578</v>
      </c>
      <c r="R1453" s="276">
        <v>1.5</v>
      </c>
      <c r="S1453" s="533"/>
      <c r="T1453"/>
      <c r="U1453"/>
      <c r="V1453"/>
      <c r="W1453"/>
    </row>
    <row r="1454" spans="17:23">
      <c r="Q1454" s="275">
        <f t="shared" si="64"/>
        <v>1.3899999999999577</v>
      </c>
      <c r="R1454" s="276">
        <v>1.5</v>
      </c>
      <c r="S1454" s="533"/>
      <c r="T1454"/>
      <c r="U1454"/>
      <c r="V1454"/>
      <c r="W1454"/>
    </row>
    <row r="1455" spans="17:23">
      <c r="Q1455" s="275">
        <f t="shared" si="64"/>
        <v>1.3909999999999576</v>
      </c>
      <c r="R1455" s="276">
        <v>1.5</v>
      </c>
      <c r="S1455" s="533"/>
      <c r="T1455"/>
      <c r="U1455"/>
      <c r="V1455"/>
      <c r="W1455"/>
    </row>
    <row r="1456" spans="17:23">
      <c r="Q1456" s="275">
        <f t="shared" si="64"/>
        <v>1.3919999999999575</v>
      </c>
      <c r="R1456" s="276">
        <v>1.5</v>
      </c>
      <c r="S1456" s="533"/>
      <c r="T1456"/>
      <c r="U1456"/>
      <c r="V1456"/>
      <c r="W1456"/>
    </row>
    <row r="1457" spans="17:23">
      <c r="Q1457" s="275">
        <f t="shared" si="64"/>
        <v>1.3929999999999574</v>
      </c>
      <c r="R1457" s="276">
        <v>1.5</v>
      </c>
      <c r="S1457" s="533"/>
      <c r="T1457"/>
      <c r="U1457"/>
      <c r="V1457"/>
      <c r="W1457"/>
    </row>
    <row r="1458" spans="17:23">
      <c r="Q1458" s="275">
        <f t="shared" si="64"/>
        <v>1.3939999999999573</v>
      </c>
      <c r="R1458" s="276">
        <v>1.5</v>
      </c>
      <c r="S1458" s="533"/>
      <c r="T1458"/>
      <c r="U1458"/>
      <c r="V1458"/>
      <c r="W1458"/>
    </row>
    <row r="1459" spans="17:23">
      <c r="Q1459" s="275">
        <f t="shared" si="64"/>
        <v>1.3949999999999572</v>
      </c>
      <c r="R1459" s="276">
        <v>1.5</v>
      </c>
      <c r="S1459" s="533"/>
      <c r="T1459"/>
      <c r="U1459"/>
      <c r="V1459"/>
      <c r="W1459"/>
    </row>
    <row r="1460" spans="17:23">
      <c r="Q1460" s="275">
        <f t="shared" si="64"/>
        <v>1.3959999999999571</v>
      </c>
      <c r="R1460" s="276">
        <v>1.5</v>
      </c>
      <c r="S1460" s="533"/>
      <c r="T1460"/>
      <c r="U1460"/>
      <c r="V1460"/>
      <c r="W1460"/>
    </row>
    <row r="1461" spans="17:23">
      <c r="Q1461" s="275">
        <f t="shared" si="64"/>
        <v>1.3969999999999569</v>
      </c>
      <c r="R1461" s="276">
        <v>1.5</v>
      </c>
      <c r="S1461" s="533"/>
      <c r="T1461"/>
      <c r="U1461"/>
      <c r="V1461"/>
      <c r="W1461"/>
    </row>
    <row r="1462" spans="17:23">
      <c r="Q1462" s="275">
        <f t="shared" si="64"/>
        <v>1.3979999999999568</v>
      </c>
      <c r="R1462" s="276">
        <v>1.5</v>
      </c>
      <c r="S1462" s="533"/>
      <c r="T1462"/>
      <c r="U1462"/>
      <c r="V1462"/>
      <c r="W1462"/>
    </row>
    <row r="1463" spans="17:23">
      <c r="Q1463" s="275">
        <f t="shared" si="64"/>
        <v>1.3989999999999567</v>
      </c>
      <c r="R1463" s="276">
        <v>1.5</v>
      </c>
      <c r="S1463" s="533"/>
      <c r="T1463"/>
      <c r="U1463"/>
      <c r="V1463"/>
      <c r="W1463"/>
    </row>
    <row r="1464" spans="17:23">
      <c r="Q1464" s="275">
        <f t="shared" si="64"/>
        <v>1.3999999999999566</v>
      </c>
      <c r="R1464" s="276">
        <v>1.5</v>
      </c>
      <c r="S1464" s="533"/>
      <c r="T1464"/>
      <c r="U1464"/>
      <c r="V1464"/>
      <c r="W1464"/>
    </row>
    <row r="1465" spans="17:23">
      <c r="Q1465" s="275">
        <f t="shared" si="64"/>
        <v>1.4009999999999565</v>
      </c>
      <c r="R1465" s="276">
        <v>1.5</v>
      </c>
      <c r="S1465" s="533"/>
      <c r="T1465"/>
      <c r="U1465"/>
      <c r="V1465"/>
      <c r="W1465"/>
    </row>
    <row r="1466" spans="17:23">
      <c r="Q1466" s="275">
        <f t="shared" si="64"/>
        <v>1.4019999999999564</v>
      </c>
      <c r="R1466" s="276">
        <v>1.5</v>
      </c>
      <c r="S1466" s="533"/>
      <c r="T1466"/>
      <c r="U1466"/>
      <c r="V1466"/>
      <c r="W1466"/>
    </row>
    <row r="1467" spans="17:23">
      <c r="Q1467" s="275">
        <f t="shared" si="64"/>
        <v>1.4029999999999563</v>
      </c>
      <c r="R1467" s="276">
        <v>1.5</v>
      </c>
      <c r="S1467" s="533"/>
      <c r="T1467"/>
      <c r="U1467"/>
      <c r="V1467"/>
      <c r="W1467"/>
    </row>
    <row r="1468" spans="17:23">
      <c r="Q1468" s="275">
        <f t="shared" si="64"/>
        <v>1.4039999999999562</v>
      </c>
      <c r="R1468" s="276">
        <v>1.5</v>
      </c>
      <c r="S1468" s="533"/>
      <c r="T1468"/>
      <c r="U1468"/>
      <c r="V1468"/>
      <c r="W1468"/>
    </row>
    <row r="1469" spans="17:23">
      <c r="Q1469" s="275">
        <f t="shared" si="64"/>
        <v>1.4049999999999561</v>
      </c>
      <c r="R1469" s="276">
        <v>1.5</v>
      </c>
      <c r="S1469" s="533"/>
      <c r="T1469"/>
      <c r="U1469"/>
      <c r="V1469"/>
      <c r="W1469"/>
    </row>
    <row r="1470" spans="17:23">
      <c r="Q1470" s="275">
        <f t="shared" si="64"/>
        <v>1.405999999999956</v>
      </c>
      <c r="R1470" s="276">
        <v>1.5</v>
      </c>
      <c r="S1470" s="533"/>
      <c r="T1470"/>
      <c r="U1470"/>
      <c r="V1470"/>
      <c r="W1470"/>
    </row>
    <row r="1471" spans="17:23">
      <c r="Q1471" s="275">
        <f t="shared" si="64"/>
        <v>1.4069999999999558</v>
      </c>
      <c r="R1471" s="276">
        <v>1.5</v>
      </c>
      <c r="S1471" s="533"/>
      <c r="T1471"/>
      <c r="U1471"/>
      <c r="V1471"/>
      <c r="W1471"/>
    </row>
    <row r="1472" spans="17:23">
      <c r="Q1472" s="275">
        <f t="shared" si="64"/>
        <v>1.4079999999999557</v>
      </c>
      <c r="R1472" s="276">
        <v>1.5</v>
      </c>
      <c r="S1472" s="533"/>
      <c r="T1472"/>
      <c r="U1472"/>
      <c r="V1472"/>
      <c r="W1472"/>
    </row>
    <row r="1473" spans="17:23">
      <c r="Q1473" s="275">
        <f t="shared" ref="Q1473:Q1536" si="65">Q1472+0.001</f>
        <v>1.4089999999999556</v>
      </c>
      <c r="R1473" s="276">
        <v>1.5</v>
      </c>
      <c r="S1473" s="533"/>
      <c r="T1473"/>
      <c r="U1473"/>
      <c r="V1473"/>
      <c r="W1473"/>
    </row>
    <row r="1474" spans="17:23">
      <c r="Q1474" s="275">
        <f t="shared" si="65"/>
        <v>1.4099999999999555</v>
      </c>
      <c r="R1474" s="276">
        <v>1.5</v>
      </c>
      <c r="S1474" s="533"/>
      <c r="T1474"/>
      <c r="U1474"/>
      <c r="V1474"/>
      <c r="W1474"/>
    </row>
    <row r="1475" spans="17:23">
      <c r="Q1475" s="275">
        <f t="shared" si="65"/>
        <v>1.4109999999999554</v>
      </c>
      <c r="R1475" s="276">
        <v>1.5</v>
      </c>
      <c r="S1475" s="533"/>
      <c r="T1475"/>
      <c r="U1475"/>
      <c r="V1475"/>
      <c r="W1475"/>
    </row>
    <row r="1476" spans="17:23">
      <c r="Q1476" s="275">
        <f t="shared" si="65"/>
        <v>1.4119999999999553</v>
      </c>
      <c r="R1476" s="276">
        <v>1.5</v>
      </c>
      <c r="S1476" s="533"/>
      <c r="T1476"/>
      <c r="U1476"/>
      <c r="V1476"/>
      <c r="W1476"/>
    </row>
    <row r="1477" spans="17:23">
      <c r="Q1477" s="275">
        <f t="shared" si="65"/>
        <v>1.4129999999999552</v>
      </c>
      <c r="R1477" s="276">
        <v>1.5</v>
      </c>
      <c r="S1477" s="533"/>
      <c r="T1477"/>
      <c r="U1477"/>
      <c r="V1477"/>
      <c r="W1477"/>
    </row>
    <row r="1478" spans="17:23">
      <c r="Q1478" s="275">
        <f t="shared" si="65"/>
        <v>1.4139999999999551</v>
      </c>
      <c r="R1478" s="276">
        <v>1.5</v>
      </c>
      <c r="S1478" s="533"/>
      <c r="T1478"/>
      <c r="U1478"/>
      <c r="V1478"/>
      <c r="W1478"/>
    </row>
    <row r="1479" spans="17:23">
      <c r="Q1479" s="275">
        <f t="shared" si="65"/>
        <v>1.414999999999955</v>
      </c>
      <c r="R1479" s="276">
        <v>1.5</v>
      </c>
      <c r="S1479" s="533"/>
      <c r="T1479"/>
      <c r="U1479"/>
      <c r="V1479"/>
      <c r="W1479"/>
    </row>
    <row r="1480" spans="17:23">
      <c r="Q1480" s="275">
        <f t="shared" si="65"/>
        <v>1.4159999999999549</v>
      </c>
      <c r="R1480" s="276">
        <v>1.5</v>
      </c>
      <c r="S1480" s="533"/>
      <c r="T1480"/>
      <c r="U1480"/>
      <c r="V1480"/>
      <c r="W1480"/>
    </row>
    <row r="1481" spans="17:23">
      <c r="Q1481" s="275">
        <f t="shared" si="65"/>
        <v>1.4169999999999547</v>
      </c>
      <c r="R1481" s="276">
        <v>1.5</v>
      </c>
      <c r="S1481" s="533"/>
      <c r="T1481"/>
      <c r="U1481"/>
      <c r="V1481"/>
      <c r="W1481"/>
    </row>
    <row r="1482" spans="17:23">
      <c r="Q1482" s="275">
        <f t="shared" si="65"/>
        <v>1.4179999999999546</v>
      </c>
      <c r="R1482" s="276">
        <v>1.5</v>
      </c>
      <c r="S1482" s="533"/>
      <c r="T1482"/>
      <c r="U1482"/>
      <c r="V1482"/>
      <c r="W1482"/>
    </row>
    <row r="1483" spans="17:23">
      <c r="Q1483" s="275">
        <f t="shared" si="65"/>
        <v>1.4189999999999545</v>
      </c>
      <c r="R1483" s="276">
        <v>1.5</v>
      </c>
      <c r="S1483" s="533"/>
      <c r="T1483"/>
      <c r="U1483"/>
      <c r="V1483"/>
      <c r="W1483"/>
    </row>
    <row r="1484" spans="17:23">
      <c r="Q1484" s="275">
        <f t="shared" si="65"/>
        <v>1.4199999999999544</v>
      </c>
      <c r="R1484" s="276">
        <v>1.5</v>
      </c>
      <c r="S1484" s="533"/>
      <c r="T1484"/>
      <c r="U1484"/>
      <c r="V1484"/>
      <c r="W1484"/>
    </row>
    <row r="1485" spans="17:23">
      <c r="Q1485" s="275">
        <f t="shared" si="65"/>
        <v>1.4209999999999543</v>
      </c>
      <c r="R1485" s="276">
        <v>1.5</v>
      </c>
      <c r="S1485" s="533"/>
      <c r="T1485"/>
      <c r="U1485"/>
      <c r="V1485"/>
      <c r="W1485"/>
    </row>
    <row r="1486" spans="17:23">
      <c r="Q1486" s="275">
        <f t="shared" si="65"/>
        <v>1.4219999999999542</v>
      </c>
      <c r="R1486" s="276">
        <v>1.5</v>
      </c>
      <c r="S1486" s="533"/>
      <c r="T1486"/>
      <c r="U1486"/>
      <c r="V1486"/>
      <c r="W1486"/>
    </row>
    <row r="1487" spans="17:23">
      <c r="Q1487" s="275">
        <f t="shared" si="65"/>
        <v>1.4229999999999541</v>
      </c>
      <c r="R1487" s="276">
        <v>1.5</v>
      </c>
      <c r="S1487" s="533"/>
      <c r="T1487"/>
      <c r="U1487"/>
      <c r="V1487"/>
      <c r="W1487"/>
    </row>
    <row r="1488" spans="17:23">
      <c r="Q1488" s="275">
        <f t="shared" si="65"/>
        <v>1.423999999999954</v>
      </c>
      <c r="R1488" s="276">
        <v>1.5</v>
      </c>
      <c r="S1488" s="533"/>
      <c r="T1488"/>
      <c r="U1488"/>
      <c r="V1488"/>
      <c r="W1488"/>
    </row>
    <row r="1489" spans="17:23">
      <c r="Q1489" s="275">
        <f t="shared" si="65"/>
        <v>1.4249999999999539</v>
      </c>
      <c r="R1489" s="276">
        <v>1.5</v>
      </c>
      <c r="S1489" s="533"/>
      <c r="T1489"/>
      <c r="U1489"/>
      <c r="V1489"/>
      <c r="W1489"/>
    </row>
    <row r="1490" spans="17:23">
      <c r="Q1490" s="275">
        <f t="shared" si="65"/>
        <v>1.4259999999999537</v>
      </c>
      <c r="R1490" s="276">
        <v>1.5</v>
      </c>
      <c r="S1490" s="533"/>
      <c r="T1490"/>
      <c r="U1490"/>
      <c r="V1490"/>
      <c r="W1490"/>
    </row>
    <row r="1491" spans="17:23">
      <c r="Q1491" s="275">
        <f t="shared" si="65"/>
        <v>1.4269999999999536</v>
      </c>
      <c r="R1491" s="276">
        <v>1.5</v>
      </c>
      <c r="S1491" s="533"/>
      <c r="T1491"/>
      <c r="U1491"/>
      <c r="V1491"/>
      <c r="W1491"/>
    </row>
    <row r="1492" spans="17:23">
      <c r="Q1492" s="275">
        <f t="shared" si="65"/>
        <v>1.4279999999999535</v>
      </c>
      <c r="R1492" s="276">
        <v>1.5</v>
      </c>
      <c r="S1492" s="533"/>
      <c r="T1492"/>
      <c r="U1492"/>
      <c r="V1492"/>
      <c r="W1492"/>
    </row>
    <row r="1493" spans="17:23">
      <c r="Q1493" s="275">
        <f t="shared" si="65"/>
        <v>1.4289999999999534</v>
      </c>
      <c r="R1493" s="276">
        <v>1.5</v>
      </c>
      <c r="S1493" s="533"/>
      <c r="T1493"/>
      <c r="U1493"/>
      <c r="V1493"/>
      <c r="W1493"/>
    </row>
    <row r="1494" spans="17:23">
      <c r="Q1494" s="275">
        <f t="shared" si="65"/>
        <v>1.4299999999999533</v>
      </c>
      <c r="R1494" s="276">
        <v>1.5</v>
      </c>
      <c r="S1494" s="533"/>
      <c r="T1494"/>
      <c r="U1494"/>
      <c r="V1494"/>
      <c r="W1494"/>
    </row>
    <row r="1495" spans="17:23">
      <c r="Q1495" s="275">
        <f t="shared" si="65"/>
        <v>1.4309999999999532</v>
      </c>
      <c r="R1495" s="276">
        <v>1.5</v>
      </c>
      <c r="S1495" s="533"/>
      <c r="T1495"/>
      <c r="U1495"/>
      <c r="V1495"/>
      <c r="W1495"/>
    </row>
    <row r="1496" spans="17:23">
      <c r="Q1496" s="275">
        <f t="shared" si="65"/>
        <v>1.4319999999999531</v>
      </c>
      <c r="R1496" s="276">
        <v>1.5</v>
      </c>
      <c r="S1496" s="533"/>
      <c r="T1496"/>
      <c r="U1496"/>
      <c r="V1496"/>
      <c r="W1496"/>
    </row>
    <row r="1497" spans="17:23">
      <c r="Q1497" s="275">
        <f t="shared" si="65"/>
        <v>1.432999999999953</v>
      </c>
      <c r="R1497" s="276">
        <v>1.5</v>
      </c>
      <c r="S1497" s="533"/>
      <c r="T1497"/>
      <c r="U1497"/>
      <c r="V1497"/>
      <c r="W1497"/>
    </row>
    <row r="1498" spans="17:23">
      <c r="Q1498" s="275">
        <f t="shared" si="65"/>
        <v>1.4339999999999529</v>
      </c>
      <c r="R1498" s="276">
        <v>1.5</v>
      </c>
      <c r="S1498" s="533"/>
      <c r="T1498"/>
      <c r="U1498"/>
      <c r="V1498"/>
      <c r="W1498"/>
    </row>
    <row r="1499" spans="17:23">
      <c r="Q1499" s="275">
        <f t="shared" si="65"/>
        <v>1.4349999999999528</v>
      </c>
      <c r="R1499" s="276">
        <v>1.5</v>
      </c>
      <c r="S1499" s="533"/>
      <c r="T1499"/>
      <c r="U1499"/>
      <c r="V1499"/>
      <c r="W1499"/>
    </row>
    <row r="1500" spans="17:23">
      <c r="Q1500" s="275">
        <f t="shared" si="65"/>
        <v>1.4359999999999526</v>
      </c>
      <c r="R1500" s="276">
        <v>1.5</v>
      </c>
      <c r="S1500" s="533"/>
      <c r="T1500"/>
      <c r="U1500"/>
      <c r="V1500"/>
      <c r="W1500"/>
    </row>
    <row r="1501" spans="17:23">
      <c r="Q1501" s="275">
        <f t="shared" si="65"/>
        <v>1.4369999999999525</v>
      </c>
      <c r="R1501" s="276">
        <v>1.5</v>
      </c>
      <c r="S1501" s="533"/>
      <c r="T1501"/>
      <c r="U1501"/>
      <c r="V1501"/>
      <c r="W1501"/>
    </row>
    <row r="1502" spans="17:23">
      <c r="Q1502" s="275">
        <f t="shared" si="65"/>
        <v>1.4379999999999524</v>
      </c>
      <c r="R1502" s="276">
        <v>1.5</v>
      </c>
      <c r="S1502" s="533"/>
      <c r="T1502"/>
      <c r="U1502"/>
      <c r="V1502"/>
      <c r="W1502"/>
    </row>
    <row r="1503" spans="17:23">
      <c r="Q1503" s="275">
        <f t="shared" si="65"/>
        <v>1.4389999999999523</v>
      </c>
      <c r="R1503" s="276">
        <v>1.5</v>
      </c>
      <c r="S1503" s="533"/>
      <c r="T1503"/>
      <c r="U1503"/>
      <c r="V1503"/>
      <c r="W1503"/>
    </row>
    <row r="1504" spans="17:23">
      <c r="Q1504" s="275">
        <f t="shared" si="65"/>
        <v>1.4399999999999522</v>
      </c>
      <c r="R1504" s="276">
        <v>1.5</v>
      </c>
      <c r="S1504" s="533"/>
      <c r="T1504"/>
      <c r="U1504"/>
      <c r="V1504"/>
      <c r="W1504"/>
    </row>
    <row r="1505" spans="17:23">
      <c r="Q1505" s="275">
        <f t="shared" si="65"/>
        <v>1.4409999999999521</v>
      </c>
      <c r="R1505" s="276">
        <v>1.5</v>
      </c>
      <c r="S1505" s="533"/>
      <c r="T1505"/>
      <c r="U1505"/>
      <c r="V1505"/>
      <c r="W1505"/>
    </row>
    <row r="1506" spans="17:23">
      <c r="Q1506" s="275">
        <f t="shared" si="65"/>
        <v>1.441999999999952</v>
      </c>
      <c r="R1506" s="276">
        <v>1.5</v>
      </c>
      <c r="S1506" s="533"/>
      <c r="T1506"/>
      <c r="U1506"/>
      <c r="V1506"/>
      <c r="W1506"/>
    </row>
    <row r="1507" spans="17:23">
      <c r="Q1507" s="275">
        <f t="shared" si="65"/>
        <v>1.4429999999999519</v>
      </c>
      <c r="R1507" s="276">
        <v>1.5</v>
      </c>
      <c r="S1507" s="533"/>
      <c r="T1507"/>
      <c r="U1507"/>
      <c r="V1507"/>
      <c r="W1507"/>
    </row>
    <row r="1508" spans="17:23">
      <c r="Q1508" s="275">
        <f t="shared" si="65"/>
        <v>1.4439999999999518</v>
      </c>
      <c r="R1508" s="276">
        <v>1.5</v>
      </c>
      <c r="S1508" s="533"/>
      <c r="T1508"/>
      <c r="U1508"/>
      <c r="V1508"/>
      <c r="W1508"/>
    </row>
    <row r="1509" spans="17:23">
      <c r="Q1509" s="275">
        <f t="shared" si="65"/>
        <v>1.4449999999999517</v>
      </c>
      <c r="R1509" s="276">
        <v>1.5</v>
      </c>
      <c r="S1509" s="533"/>
      <c r="T1509"/>
      <c r="U1509"/>
      <c r="V1509"/>
      <c r="W1509"/>
    </row>
    <row r="1510" spans="17:23">
      <c r="Q1510" s="275">
        <f t="shared" si="65"/>
        <v>1.4459999999999515</v>
      </c>
      <c r="R1510" s="276">
        <v>1.5</v>
      </c>
      <c r="S1510" s="533"/>
      <c r="T1510"/>
      <c r="U1510"/>
      <c r="V1510"/>
      <c r="W1510"/>
    </row>
    <row r="1511" spans="17:23">
      <c r="Q1511" s="275">
        <f t="shared" si="65"/>
        <v>1.4469999999999514</v>
      </c>
      <c r="R1511" s="276">
        <v>1.5</v>
      </c>
      <c r="S1511" s="533"/>
      <c r="T1511"/>
      <c r="U1511"/>
      <c r="V1511"/>
      <c r="W1511"/>
    </row>
    <row r="1512" spans="17:23">
      <c r="Q1512" s="275">
        <f t="shared" si="65"/>
        <v>1.4479999999999513</v>
      </c>
      <c r="R1512" s="276">
        <v>1.5</v>
      </c>
      <c r="S1512" s="533"/>
      <c r="T1512"/>
      <c r="U1512"/>
      <c r="V1512"/>
      <c r="W1512"/>
    </row>
    <row r="1513" spans="17:23">
      <c r="Q1513" s="275">
        <f t="shared" si="65"/>
        <v>1.4489999999999512</v>
      </c>
      <c r="R1513" s="276">
        <v>1.5</v>
      </c>
      <c r="S1513" s="533"/>
      <c r="T1513"/>
      <c r="U1513"/>
      <c r="V1513"/>
      <c r="W1513"/>
    </row>
    <row r="1514" spans="17:23">
      <c r="Q1514" s="275">
        <f t="shared" si="65"/>
        <v>1.4499999999999511</v>
      </c>
      <c r="R1514" s="276">
        <v>1.5</v>
      </c>
      <c r="S1514" s="533"/>
      <c r="T1514"/>
      <c r="U1514"/>
      <c r="V1514"/>
      <c r="W1514"/>
    </row>
    <row r="1515" spans="17:23">
      <c r="Q1515" s="275">
        <f t="shared" si="65"/>
        <v>1.450999999999951</v>
      </c>
      <c r="R1515" s="276">
        <v>1.5</v>
      </c>
      <c r="S1515" s="533"/>
      <c r="T1515"/>
      <c r="U1515"/>
      <c r="V1515"/>
      <c r="W1515"/>
    </row>
    <row r="1516" spans="17:23">
      <c r="Q1516" s="275">
        <f t="shared" si="65"/>
        <v>1.4519999999999509</v>
      </c>
      <c r="R1516" s="276">
        <v>1.5</v>
      </c>
      <c r="S1516" s="533"/>
      <c r="T1516"/>
      <c r="U1516"/>
      <c r="V1516"/>
      <c r="W1516"/>
    </row>
    <row r="1517" spans="17:23">
      <c r="Q1517" s="275">
        <f t="shared" si="65"/>
        <v>1.4529999999999508</v>
      </c>
      <c r="R1517" s="276">
        <v>1.5</v>
      </c>
      <c r="S1517" s="533"/>
      <c r="T1517"/>
      <c r="U1517"/>
      <c r="V1517"/>
      <c r="W1517"/>
    </row>
    <row r="1518" spans="17:23">
      <c r="Q1518" s="275">
        <f t="shared" si="65"/>
        <v>1.4539999999999507</v>
      </c>
      <c r="R1518" s="276">
        <v>1.5</v>
      </c>
      <c r="S1518" s="533"/>
      <c r="T1518"/>
      <c r="U1518"/>
      <c r="V1518"/>
      <c r="W1518"/>
    </row>
    <row r="1519" spans="17:23">
      <c r="Q1519" s="275">
        <f t="shared" si="65"/>
        <v>1.4549999999999506</v>
      </c>
      <c r="R1519" s="276">
        <v>1.5</v>
      </c>
      <c r="S1519" s="533"/>
      <c r="T1519"/>
      <c r="U1519"/>
      <c r="V1519"/>
      <c r="W1519"/>
    </row>
    <row r="1520" spans="17:23">
      <c r="Q1520" s="275">
        <f t="shared" si="65"/>
        <v>1.4559999999999504</v>
      </c>
      <c r="R1520" s="276">
        <v>1.5</v>
      </c>
      <c r="S1520" s="533"/>
      <c r="T1520"/>
      <c r="U1520"/>
      <c r="V1520"/>
      <c r="W1520"/>
    </row>
    <row r="1521" spans="17:23">
      <c r="Q1521" s="275">
        <f t="shared" si="65"/>
        <v>1.4569999999999503</v>
      </c>
      <c r="R1521" s="276">
        <v>1.5</v>
      </c>
      <c r="S1521" s="533"/>
      <c r="T1521"/>
      <c r="U1521"/>
      <c r="V1521"/>
      <c r="W1521"/>
    </row>
    <row r="1522" spans="17:23">
      <c r="Q1522" s="275">
        <f t="shared" si="65"/>
        <v>1.4579999999999502</v>
      </c>
      <c r="R1522" s="276">
        <v>1.5</v>
      </c>
      <c r="S1522" s="533"/>
      <c r="T1522"/>
      <c r="U1522"/>
      <c r="V1522"/>
      <c r="W1522"/>
    </row>
    <row r="1523" spans="17:23">
      <c r="Q1523" s="275">
        <f t="shared" si="65"/>
        <v>1.4589999999999501</v>
      </c>
      <c r="R1523" s="276">
        <v>1.5</v>
      </c>
      <c r="S1523" s="533"/>
      <c r="T1523"/>
      <c r="U1523"/>
      <c r="V1523"/>
      <c r="W1523"/>
    </row>
    <row r="1524" spans="17:23">
      <c r="Q1524" s="275">
        <f t="shared" si="65"/>
        <v>1.45999999999995</v>
      </c>
      <c r="R1524" s="276">
        <v>1.5</v>
      </c>
      <c r="S1524" s="533"/>
      <c r="T1524"/>
      <c r="U1524"/>
      <c r="V1524"/>
      <c r="W1524"/>
    </row>
    <row r="1525" spans="17:23">
      <c r="Q1525" s="275">
        <f t="shared" si="65"/>
        <v>1.4609999999999499</v>
      </c>
      <c r="R1525" s="276">
        <v>1.5</v>
      </c>
      <c r="S1525" s="533"/>
      <c r="T1525"/>
      <c r="U1525"/>
      <c r="V1525"/>
      <c r="W1525"/>
    </row>
    <row r="1526" spans="17:23">
      <c r="Q1526" s="275">
        <f t="shared" si="65"/>
        <v>1.4619999999999498</v>
      </c>
      <c r="R1526" s="276">
        <v>1.5</v>
      </c>
      <c r="S1526" s="533"/>
      <c r="T1526"/>
      <c r="U1526"/>
      <c r="V1526"/>
      <c r="W1526"/>
    </row>
    <row r="1527" spans="17:23">
      <c r="Q1527" s="275">
        <f t="shared" si="65"/>
        <v>1.4629999999999497</v>
      </c>
      <c r="R1527" s="276">
        <v>1.5</v>
      </c>
      <c r="S1527" s="533"/>
      <c r="T1527"/>
      <c r="U1527"/>
      <c r="V1527"/>
      <c r="W1527"/>
    </row>
    <row r="1528" spans="17:23">
      <c r="Q1528" s="275">
        <f t="shared" si="65"/>
        <v>1.4639999999999496</v>
      </c>
      <c r="R1528" s="276">
        <v>1.5</v>
      </c>
      <c r="S1528" s="533"/>
      <c r="T1528"/>
      <c r="U1528"/>
      <c r="V1528"/>
      <c r="W1528"/>
    </row>
    <row r="1529" spans="17:23">
      <c r="Q1529" s="275">
        <f t="shared" si="65"/>
        <v>1.4649999999999495</v>
      </c>
      <c r="R1529" s="276">
        <v>1.5</v>
      </c>
      <c r="S1529" s="533"/>
      <c r="T1529"/>
      <c r="U1529"/>
      <c r="V1529"/>
      <c r="W1529"/>
    </row>
    <row r="1530" spans="17:23">
      <c r="Q1530" s="275">
        <f t="shared" si="65"/>
        <v>1.4659999999999493</v>
      </c>
      <c r="R1530" s="276">
        <v>1.5</v>
      </c>
      <c r="S1530" s="533"/>
      <c r="T1530"/>
      <c r="U1530"/>
      <c r="V1530"/>
      <c r="W1530"/>
    </row>
    <row r="1531" spans="17:23">
      <c r="Q1531" s="275">
        <f t="shared" si="65"/>
        <v>1.4669999999999492</v>
      </c>
      <c r="R1531" s="276">
        <v>1.5</v>
      </c>
      <c r="S1531" s="533"/>
      <c r="T1531"/>
      <c r="U1531"/>
      <c r="V1531"/>
      <c r="W1531"/>
    </row>
    <row r="1532" spans="17:23">
      <c r="Q1532" s="275">
        <f t="shared" si="65"/>
        <v>1.4679999999999491</v>
      </c>
      <c r="R1532" s="276">
        <v>1.5</v>
      </c>
      <c r="S1532" s="533"/>
      <c r="T1532"/>
      <c r="U1532"/>
      <c r="V1532"/>
      <c r="W1532"/>
    </row>
    <row r="1533" spans="17:23">
      <c r="Q1533" s="275">
        <f t="shared" si="65"/>
        <v>1.468999999999949</v>
      </c>
      <c r="R1533" s="276">
        <v>1.5</v>
      </c>
      <c r="S1533" s="533"/>
      <c r="T1533"/>
      <c r="U1533"/>
      <c r="V1533"/>
      <c r="W1533"/>
    </row>
    <row r="1534" spans="17:23">
      <c r="Q1534" s="275">
        <f t="shared" si="65"/>
        <v>1.4699999999999489</v>
      </c>
      <c r="R1534" s="276">
        <v>1.5</v>
      </c>
      <c r="S1534" s="533"/>
      <c r="T1534"/>
      <c r="U1534"/>
      <c r="V1534"/>
      <c r="W1534"/>
    </row>
    <row r="1535" spans="17:23">
      <c r="Q1535" s="275">
        <f t="shared" si="65"/>
        <v>1.4709999999999488</v>
      </c>
      <c r="R1535" s="276">
        <v>1.5</v>
      </c>
      <c r="S1535" s="533"/>
      <c r="T1535"/>
      <c r="U1535"/>
      <c r="V1535"/>
      <c r="W1535"/>
    </row>
    <row r="1536" spans="17:23">
      <c r="Q1536" s="275">
        <f t="shared" si="65"/>
        <v>1.4719999999999487</v>
      </c>
      <c r="R1536" s="276">
        <v>1.5</v>
      </c>
      <c r="S1536" s="533"/>
      <c r="T1536"/>
      <c r="U1536"/>
      <c r="V1536"/>
      <c r="W1536"/>
    </row>
    <row r="1537" spans="17:23">
      <c r="Q1537" s="275">
        <f t="shared" ref="Q1537:Q1600" si="66">Q1536+0.001</f>
        <v>1.4729999999999486</v>
      </c>
      <c r="R1537" s="276">
        <v>1.5</v>
      </c>
      <c r="S1537" s="533"/>
      <c r="T1537"/>
      <c r="U1537"/>
      <c r="V1537"/>
      <c r="W1537"/>
    </row>
    <row r="1538" spans="17:23">
      <c r="Q1538" s="275">
        <f t="shared" si="66"/>
        <v>1.4739999999999485</v>
      </c>
      <c r="R1538" s="276">
        <v>1.75</v>
      </c>
      <c r="S1538" s="533"/>
      <c r="T1538"/>
      <c r="U1538"/>
      <c r="V1538"/>
      <c r="W1538"/>
    </row>
    <row r="1539" spans="17:23">
      <c r="Q1539" s="275">
        <f t="shared" si="66"/>
        <v>1.4749999999999484</v>
      </c>
      <c r="R1539" s="276">
        <v>1.75</v>
      </c>
      <c r="S1539" s="533"/>
      <c r="T1539"/>
      <c r="U1539"/>
      <c r="V1539"/>
      <c r="W1539"/>
    </row>
    <row r="1540" spans="17:23">
      <c r="Q1540" s="275">
        <f t="shared" si="66"/>
        <v>1.4759999999999482</v>
      </c>
      <c r="R1540" s="276">
        <v>1.75</v>
      </c>
      <c r="S1540" s="533"/>
      <c r="T1540"/>
      <c r="U1540"/>
      <c r="V1540"/>
      <c r="W1540"/>
    </row>
    <row r="1541" spans="17:23">
      <c r="Q1541" s="275">
        <f t="shared" si="66"/>
        <v>1.4769999999999481</v>
      </c>
      <c r="R1541" s="276">
        <v>1.75</v>
      </c>
      <c r="S1541" s="533"/>
      <c r="T1541"/>
      <c r="U1541"/>
      <c r="V1541"/>
      <c r="W1541"/>
    </row>
    <row r="1542" spans="17:23">
      <c r="Q1542" s="275">
        <f t="shared" si="66"/>
        <v>1.477999999999948</v>
      </c>
      <c r="R1542" s="276">
        <v>1.75</v>
      </c>
      <c r="S1542" s="533"/>
      <c r="T1542"/>
      <c r="U1542"/>
      <c r="V1542"/>
      <c r="W1542"/>
    </row>
    <row r="1543" spans="17:23">
      <c r="Q1543" s="275">
        <f t="shared" si="66"/>
        <v>1.4789999999999479</v>
      </c>
      <c r="R1543" s="276">
        <v>1.75</v>
      </c>
      <c r="S1543" s="533"/>
      <c r="T1543"/>
      <c r="U1543"/>
      <c r="V1543"/>
      <c r="W1543"/>
    </row>
    <row r="1544" spans="17:23">
      <c r="Q1544" s="275">
        <f t="shared" si="66"/>
        <v>1.4799999999999478</v>
      </c>
      <c r="R1544" s="276">
        <v>1.75</v>
      </c>
      <c r="S1544" s="533"/>
      <c r="T1544"/>
      <c r="U1544"/>
      <c r="V1544"/>
      <c r="W1544"/>
    </row>
    <row r="1545" spans="17:23">
      <c r="Q1545" s="275">
        <f t="shared" si="66"/>
        <v>1.4809999999999477</v>
      </c>
      <c r="R1545" s="276">
        <v>1.75</v>
      </c>
      <c r="S1545" s="533"/>
      <c r="T1545"/>
      <c r="U1545"/>
      <c r="V1545"/>
      <c r="W1545"/>
    </row>
    <row r="1546" spans="17:23">
      <c r="Q1546" s="275">
        <f t="shared" si="66"/>
        <v>1.4819999999999476</v>
      </c>
      <c r="R1546" s="276">
        <v>1.75</v>
      </c>
      <c r="S1546" s="533"/>
      <c r="T1546"/>
      <c r="U1546"/>
      <c r="V1546"/>
      <c r="W1546"/>
    </row>
    <row r="1547" spans="17:23">
      <c r="Q1547" s="275">
        <f t="shared" si="66"/>
        <v>1.4829999999999475</v>
      </c>
      <c r="R1547" s="276">
        <v>1.75</v>
      </c>
      <c r="S1547" s="533"/>
      <c r="T1547"/>
      <c r="U1547"/>
      <c r="V1547"/>
      <c r="W1547"/>
    </row>
    <row r="1548" spans="17:23">
      <c r="Q1548" s="275">
        <f t="shared" si="66"/>
        <v>1.4839999999999474</v>
      </c>
      <c r="R1548" s="276">
        <v>1.75</v>
      </c>
      <c r="S1548" s="533"/>
      <c r="T1548"/>
      <c r="U1548"/>
      <c r="V1548"/>
      <c r="W1548"/>
    </row>
    <row r="1549" spans="17:23">
      <c r="Q1549" s="275">
        <f t="shared" si="66"/>
        <v>1.4849999999999473</v>
      </c>
      <c r="R1549" s="276">
        <v>1.75</v>
      </c>
      <c r="S1549" s="533"/>
      <c r="T1549"/>
      <c r="U1549"/>
      <c r="V1549"/>
      <c r="W1549"/>
    </row>
    <row r="1550" spans="17:23">
      <c r="Q1550" s="275">
        <f t="shared" si="66"/>
        <v>1.4859999999999471</v>
      </c>
      <c r="R1550" s="276">
        <v>1.75</v>
      </c>
      <c r="S1550" s="533"/>
      <c r="T1550"/>
      <c r="U1550"/>
      <c r="V1550"/>
      <c r="W1550"/>
    </row>
    <row r="1551" spans="17:23">
      <c r="Q1551" s="275">
        <f t="shared" si="66"/>
        <v>1.486999999999947</v>
      </c>
      <c r="R1551" s="276">
        <v>1.75</v>
      </c>
      <c r="S1551" s="533"/>
      <c r="T1551"/>
      <c r="U1551"/>
      <c r="V1551"/>
      <c r="W1551"/>
    </row>
    <row r="1552" spans="17:23">
      <c r="Q1552" s="275">
        <f t="shared" si="66"/>
        <v>1.4879999999999469</v>
      </c>
      <c r="R1552" s="276">
        <v>1.75</v>
      </c>
      <c r="S1552" s="533"/>
      <c r="T1552"/>
      <c r="U1552"/>
      <c r="V1552"/>
      <c r="W1552"/>
    </row>
    <row r="1553" spans="17:23">
      <c r="Q1553" s="275">
        <f t="shared" si="66"/>
        <v>1.4889999999999468</v>
      </c>
      <c r="R1553" s="276">
        <v>1.75</v>
      </c>
      <c r="S1553" s="533"/>
      <c r="T1553"/>
      <c r="U1553"/>
      <c r="V1553"/>
      <c r="W1553"/>
    </row>
    <row r="1554" spans="17:23">
      <c r="Q1554" s="275">
        <f t="shared" si="66"/>
        <v>1.4899999999999467</v>
      </c>
      <c r="R1554" s="276">
        <v>1.75</v>
      </c>
      <c r="S1554" s="533"/>
      <c r="T1554"/>
      <c r="U1554"/>
      <c r="V1554"/>
      <c r="W1554"/>
    </row>
    <row r="1555" spans="17:23">
      <c r="Q1555" s="275">
        <f t="shared" si="66"/>
        <v>1.4909999999999466</v>
      </c>
      <c r="R1555" s="276">
        <v>1.75</v>
      </c>
      <c r="S1555" s="533"/>
      <c r="T1555"/>
      <c r="U1555"/>
      <c r="V1555"/>
      <c r="W1555"/>
    </row>
    <row r="1556" spans="17:23">
      <c r="Q1556" s="275">
        <f t="shared" si="66"/>
        <v>1.4919999999999465</v>
      </c>
      <c r="R1556" s="276">
        <v>1.75</v>
      </c>
      <c r="S1556" s="533"/>
      <c r="T1556"/>
      <c r="U1556"/>
      <c r="V1556"/>
      <c r="W1556"/>
    </row>
    <row r="1557" spans="17:23">
      <c r="Q1557" s="275">
        <f t="shared" si="66"/>
        <v>1.4929999999999464</v>
      </c>
      <c r="R1557" s="276">
        <v>1.75</v>
      </c>
      <c r="S1557" s="533"/>
      <c r="T1557"/>
      <c r="U1557"/>
      <c r="V1557"/>
      <c r="W1557"/>
    </row>
    <row r="1558" spans="17:23">
      <c r="Q1558" s="275">
        <f t="shared" si="66"/>
        <v>1.4939999999999463</v>
      </c>
      <c r="R1558" s="276">
        <v>1.75</v>
      </c>
      <c r="S1558" s="533"/>
      <c r="T1558"/>
      <c r="U1558"/>
      <c r="V1558"/>
      <c r="W1558"/>
    </row>
    <row r="1559" spans="17:23">
      <c r="Q1559" s="275">
        <f t="shared" si="66"/>
        <v>1.4949999999999461</v>
      </c>
      <c r="R1559" s="276">
        <v>1.75</v>
      </c>
      <c r="S1559" s="533"/>
      <c r="T1559"/>
      <c r="U1559"/>
      <c r="V1559"/>
      <c r="W1559"/>
    </row>
    <row r="1560" spans="17:23">
      <c r="Q1560" s="275">
        <f t="shared" si="66"/>
        <v>1.495999999999946</v>
      </c>
      <c r="R1560" s="276">
        <v>1.75</v>
      </c>
      <c r="S1560" s="533"/>
      <c r="T1560"/>
      <c r="U1560"/>
      <c r="V1560"/>
      <c r="W1560"/>
    </row>
    <row r="1561" spans="17:23">
      <c r="Q1561" s="275">
        <f t="shared" si="66"/>
        <v>1.4969999999999459</v>
      </c>
      <c r="R1561" s="276">
        <v>1.75</v>
      </c>
      <c r="S1561" s="533"/>
      <c r="T1561"/>
      <c r="U1561"/>
      <c r="V1561"/>
      <c r="W1561"/>
    </row>
    <row r="1562" spans="17:23">
      <c r="Q1562" s="275">
        <f t="shared" si="66"/>
        <v>1.4979999999999458</v>
      </c>
      <c r="R1562" s="276">
        <v>1.75</v>
      </c>
      <c r="S1562" s="533"/>
      <c r="T1562"/>
      <c r="U1562"/>
      <c r="V1562"/>
      <c r="W1562"/>
    </row>
    <row r="1563" spans="17:23">
      <c r="Q1563" s="275">
        <f t="shared" si="66"/>
        <v>1.4989999999999457</v>
      </c>
      <c r="R1563" s="276">
        <v>1.75</v>
      </c>
      <c r="S1563" s="533"/>
      <c r="T1563"/>
      <c r="U1563"/>
      <c r="V1563"/>
      <c r="W1563"/>
    </row>
    <row r="1564" spans="17:23">
      <c r="Q1564" s="275">
        <f t="shared" si="66"/>
        <v>1.4999999999999456</v>
      </c>
      <c r="R1564" s="276">
        <v>1.75</v>
      </c>
      <c r="S1564" s="533"/>
      <c r="T1564"/>
      <c r="U1564"/>
      <c r="V1564"/>
      <c r="W1564"/>
    </row>
    <row r="1565" spans="17:23">
      <c r="Q1565" s="275">
        <f t="shared" si="66"/>
        <v>1.5009999999999455</v>
      </c>
      <c r="R1565" s="276">
        <v>1.75</v>
      </c>
      <c r="S1565" s="533"/>
      <c r="T1565"/>
      <c r="U1565"/>
      <c r="V1565"/>
      <c r="W1565"/>
    </row>
    <row r="1566" spans="17:23">
      <c r="Q1566" s="275">
        <f t="shared" si="66"/>
        <v>1.5019999999999454</v>
      </c>
      <c r="R1566" s="276">
        <v>1.75</v>
      </c>
      <c r="S1566" s="533"/>
      <c r="T1566"/>
      <c r="U1566"/>
      <c r="V1566"/>
      <c r="W1566"/>
    </row>
    <row r="1567" spans="17:23">
      <c r="Q1567" s="275">
        <f t="shared" si="66"/>
        <v>1.5029999999999453</v>
      </c>
      <c r="R1567" s="276">
        <v>1.75</v>
      </c>
      <c r="S1567" s="533"/>
      <c r="T1567"/>
      <c r="U1567"/>
      <c r="V1567"/>
      <c r="W1567"/>
    </row>
    <row r="1568" spans="17:23">
      <c r="Q1568" s="275">
        <f t="shared" si="66"/>
        <v>1.5039999999999452</v>
      </c>
      <c r="R1568" s="276">
        <v>1.75</v>
      </c>
      <c r="S1568" s="533"/>
      <c r="T1568"/>
      <c r="U1568"/>
      <c r="V1568"/>
      <c r="W1568"/>
    </row>
    <row r="1569" spans="17:23">
      <c r="Q1569" s="275">
        <f t="shared" si="66"/>
        <v>1.504999999999945</v>
      </c>
      <c r="R1569" s="276">
        <v>1.75</v>
      </c>
      <c r="S1569" s="533"/>
      <c r="T1569"/>
      <c r="U1569"/>
      <c r="V1569"/>
      <c r="W1569"/>
    </row>
    <row r="1570" spans="17:23">
      <c r="Q1570" s="275">
        <f t="shared" si="66"/>
        <v>1.5059999999999449</v>
      </c>
      <c r="R1570" s="276">
        <v>1.75</v>
      </c>
      <c r="S1570" s="533"/>
      <c r="T1570"/>
      <c r="U1570"/>
      <c r="V1570"/>
      <c r="W1570"/>
    </row>
    <row r="1571" spans="17:23">
      <c r="Q1571" s="275">
        <f t="shared" si="66"/>
        <v>1.5069999999999448</v>
      </c>
      <c r="R1571" s="276">
        <v>1.75</v>
      </c>
      <c r="S1571" s="533"/>
      <c r="T1571"/>
      <c r="U1571"/>
      <c r="V1571"/>
      <c r="W1571"/>
    </row>
    <row r="1572" spans="17:23">
      <c r="Q1572" s="275">
        <f t="shared" si="66"/>
        <v>1.5079999999999447</v>
      </c>
      <c r="R1572" s="276">
        <v>1.75</v>
      </c>
      <c r="S1572" s="533"/>
      <c r="T1572"/>
      <c r="U1572"/>
      <c r="V1572"/>
      <c r="W1572"/>
    </row>
    <row r="1573" spans="17:23">
      <c r="Q1573" s="275">
        <f t="shared" si="66"/>
        <v>1.5089999999999446</v>
      </c>
      <c r="R1573" s="276">
        <v>1.75</v>
      </c>
      <c r="S1573" s="533"/>
      <c r="T1573"/>
      <c r="U1573"/>
      <c r="V1573"/>
      <c r="W1573"/>
    </row>
    <row r="1574" spans="17:23">
      <c r="Q1574" s="275">
        <f t="shared" si="66"/>
        <v>1.5099999999999445</v>
      </c>
      <c r="R1574" s="276">
        <v>1.75</v>
      </c>
      <c r="S1574" s="533"/>
      <c r="T1574"/>
      <c r="U1574"/>
      <c r="V1574"/>
      <c r="W1574"/>
    </row>
    <row r="1575" spans="17:23">
      <c r="Q1575" s="275">
        <f t="shared" si="66"/>
        <v>1.5109999999999444</v>
      </c>
      <c r="R1575" s="276">
        <v>1.75</v>
      </c>
      <c r="S1575" s="533"/>
      <c r="T1575"/>
      <c r="U1575"/>
      <c r="V1575"/>
      <c r="W1575"/>
    </row>
    <row r="1576" spans="17:23">
      <c r="Q1576" s="275">
        <f t="shared" si="66"/>
        <v>1.5119999999999443</v>
      </c>
      <c r="R1576" s="276">
        <v>1.75</v>
      </c>
      <c r="S1576" s="533"/>
      <c r="T1576"/>
      <c r="U1576"/>
      <c r="V1576"/>
      <c r="W1576"/>
    </row>
    <row r="1577" spans="17:23">
      <c r="Q1577" s="275">
        <f t="shared" si="66"/>
        <v>1.5129999999999442</v>
      </c>
      <c r="R1577" s="276">
        <v>1.75</v>
      </c>
      <c r="S1577" s="533"/>
      <c r="T1577"/>
      <c r="U1577"/>
      <c r="V1577"/>
      <c r="W1577"/>
    </row>
    <row r="1578" spans="17:23">
      <c r="Q1578" s="275">
        <f t="shared" si="66"/>
        <v>1.5139999999999441</v>
      </c>
      <c r="R1578" s="276">
        <v>1.75</v>
      </c>
      <c r="S1578" s="533"/>
      <c r="T1578"/>
      <c r="U1578"/>
      <c r="V1578"/>
      <c r="W1578"/>
    </row>
    <row r="1579" spans="17:23">
      <c r="Q1579" s="275">
        <f t="shared" si="66"/>
        <v>1.5149999999999439</v>
      </c>
      <c r="R1579" s="276">
        <v>1.75</v>
      </c>
      <c r="S1579" s="533"/>
      <c r="T1579"/>
      <c r="U1579"/>
      <c r="V1579"/>
      <c r="W1579"/>
    </row>
    <row r="1580" spans="17:23">
      <c r="Q1580" s="275">
        <f t="shared" si="66"/>
        <v>1.5159999999999438</v>
      </c>
      <c r="R1580" s="276">
        <v>1.75</v>
      </c>
      <c r="S1580" s="533"/>
      <c r="T1580"/>
      <c r="U1580"/>
      <c r="V1580"/>
      <c r="W1580"/>
    </row>
    <row r="1581" spans="17:23">
      <c r="Q1581" s="275">
        <f t="shared" si="66"/>
        <v>1.5169999999999437</v>
      </c>
      <c r="R1581" s="276">
        <v>1.75</v>
      </c>
      <c r="S1581" s="533"/>
      <c r="T1581"/>
      <c r="U1581"/>
      <c r="V1581"/>
      <c r="W1581"/>
    </row>
    <row r="1582" spans="17:23">
      <c r="Q1582" s="275">
        <f t="shared" si="66"/>
        <v>1.5179999999999436</v>
      </c>
      <c r="R1582" s="276">
        <v>1.75</v>
      </c>
      <c r="S1582" s="533"/>
      <c r="T1582"/>
      <c r="U1582"/>
      <c r="V1582"/>
      <c r="W1582"/>
    </row>
    <row r="1583" spans="17:23">
      <c r="Q1583" s="275">
        <f t="shared" si="66"/>
        <v>1.5189999999999435</v>
      </c>
      <c r="R1583" s="276">
        <v>1.75</v>
      </c>
      <c r="S1583" s="533"/>
      <c r="T1583"/>
      <c r="U1583"/>
      <c r="V1583"/>
      <c r="W1583"/>
    </row>
    <row r="1584" spans="17:23">
      <c r="Q1584" s="275">
        <f t="shared" si="66"/>
        <v>1.5199999999999434</v>
      </c>
      <c r="R1584" s="276">
        <v>1.75</v>
      </c>
      <c r="S1584" s="533"/>
      <c r="T1584"/>
      <c r="U1584"/>
      <c r="V1584"/>
      <c r="W1584"/>
    </row>
    <row r="1585" spans="17:23">
      <c r="Q1585" s="275">
        <f t="shared" si="66"/>
        <v>1.5209999999999433</v>
      </c>
      <c r="R1585" s="276">
        <v>1.75</v>
      </c>
      <c r="S1585" s="533"/>
      <c r="T1585"/>
      <c r="U1585"/>
      <c r="V1585"/>
      <c r="W1585"/>
    </row>
    <row r="1586" spans="17:23">
      <c r="Q1586" s="275">
        <f t="shared" si="66"/>
        <v>1.5219999999999432</v>
      </c>
      <c r="R1586" s="276">
        <v>1.75</v>
      </c>
      <c r="S1586" s="533"/>
      <c r="T1586"/>
      <c r="U1586"/>
      <c r="V1586"/>
      <c r="W1586"/>
    </row>
    <row r="1587" spans="17:23">
      <c r="Q1587" s="275">
        <f t="shared" si="66"/>
        <v>1.5229999999999431</v>
      </c>
      <c r="R1587" s="276">
        <v>1.75</v>
      </c>
      <c r="S1587" s="533"/>
      <c r="T1587"/>
      <c r="U1587"/>
      <c r="V1587"/>
      <c r="W1587"/>
    </row>
    <row r="1588" spans="17:23">
      <c r="Q1588" s="275">
        <f t="shared" si="66"/>
        <v>1.523999999999943</v>
      </c>
      <c r="R1588" s="276">
        <v>1.75</v>
      </c>
      <c r="S1588" s="533"/>
      <c r="T1588"/>
      <c r="U1588"/>
      <c r="V1588"/>
      <c r="W1588"/>
    </row>
    <row r="1589" spans="17:23">
      <c r="Q1589" s="275">
        <f t="shared" si="66"/>
        <v>1.5249999999999428</v>
      </c>
      <c r="R1589" s="276">
        <v>1.75</v>
      </c>
      <c r="S1589" s="533"/>
      <c r="T1589"/>
      <c r="U1589"/>
      <c r="V1589"/>
      <c r="W1589"/>
    </row>
    <row r="1590" spans="17:23">
      <c r="Q1590" s="275">
        <f t="shared" si="66"/>
        <v>1.5259999999999427</v>
      </c>
      <c r="R1590" s="276">
        <v>1.75</v>
      </c>
      <c r="S1590" s="533"/>
      <c r="T1590"/>
      <c r="U1590"/>
      <c r="V1590"/>
      <c r="W1590"/>
    </row>
    <row r="1591" spans="17:23">
      <c r="Q1591" s="275">
        <f t="shared" si="66"/>
        <v>1.5269999999999426</v>
      </c>
      <c r="R1591" s="276">
        <v>1.75</v>
      </c>
      <c r="S1591" s="533"/>
      <c r="T1591"/>
      <c r="U1591"/>
      <c r="V1591"/>
      <c r="W1591"/>
    </row>
    <row r="1592" spans="17:23">
      <c r="Q1592" s="275">
        <f t="shared" si="66"/>
        <v>1.5279999999999425</v>
      </c>
      <c r="R1592" s="276">
        <v>1.75</v>
      </c>
      <c r="S1592" s="533"/>
      <c r="T1592"/>
      <c r="U1592"/>
      <c r="V1592"/>
      <c r="W1592"/>
    </row>
    <row r="1593" spans="17:23">
      <c r="Q1593" s="275">
        <f t="shared" si="66"/>
        <v>1.5289999999999424</v>
      </c>
      <c r="R1593" s="276">
        <v>1.75</v>
      </c>
      <c r="S1593" s="533"/>
      <c r="T1593"/>
      <c r="U1593"/>
      <c r="V1593"/>
      <c r="W1593"/>
    </row>
    <row r="1594" spans="17:23">
      <c r="Q1594" s="275">
        <f t="shared" si="66"/>
        <v>1.5299999999999423</v>
      </c>
      <c r="R1594" s="276">
        <v>1.75</v>
      </c>
      <c r="S1594" s="533"/>
      <c r="T1594"/>
      <c r="U1594"/>
      <c r="V1594"/>
      <c r="W1594"/>
    </row>
    <row r="1595" spans="17:23">
      <c r="Q1595" s="275">
        <f t="shared" si="66"/>
        <v>1.5309999999999422</v>
      </c>
      <c r="R1595" s="276">
        <v>1.75</v>
      </c>
      <c r="S1595" s="533"/>
      <c r="T1595"/>
      <c r="U1595"/>
      <c r="V1595"/>
      <c r="W1595"/>
    </row>
    <row r="1596" spans="17:23">
      <c r="Q1596" s="275">
        <f t="shared" si="66"/>
        <v>1.5319999999999421</v>
      </c>
      <c r="R1596" s="276">
        <v>1.75</v>
      </c>
      <c r="S1596" s="533"/>
      <c r="T1596"/>
      <c r="U1596"/>
      <c r="V1596"/>
      <c r="W1596"/>
    </row>
    <row r="1597" spans="17:23">
      <c r="Q1597" s="275">
        <f t="shared" si="66"/>
        <v>1.532999999999942</v>
      </c>
      <c r="R1597" s="276">
        <v>1.75</v>
      </c>
      <c r="S1597" s="533"/>
      <c r="T1597"/>
      <c r="U1597"/>
      <c r="V1597"/>
      <c r="W1597"/>
    </row>
    <row r="1598" spans="17:23">
      <c r="Q1598" s="275">
        <f t="shared" si="66"/>
        <v>1.5339999999999419</v>
      </c>
      <c r="R1598" s="276">
        <v>1.75</v>
      </c>
      <c r="S1598" s="533"/>
      <c r="T1598"/>
      <c r="U1598"/>
      <c r="V1598"/>
      <c r="W1598"/>
    </row>
    <row r="1599" spans="17:23">
      <c r="Q1599" s="275">
        <f t="shared" si="66"/>
        <v>1.5349999999999417</v>
      </c>
      <c r="R1599" s="276">
        <v>1.75</v>
      </c>
      <c r="S1599" s="533"/>
      <c r="T1599"/>
      <c r="U1599"/>
      <c r="V1599"/>
      <c r="W1599"/>
    </row>
    <row r="1600" spans="17:23">
      <c r="Q1600" s="275">
        <f t="shared" si="66"/>
        <v>1.5359999999999416</v>
      </c>
      <c r="R1600" s="276">
        <v>1.75</v>
      </c>
      <c r="S1600" s="533"/>
      <c r="T1600"/>
      <c r="U1600"/>
      <c r="V1600"/>
      <c r="W1600"/>
    </row>
    <row r="1601" spans="17:23">
      <c r="Q1601" s="275">
        <f t="shared" ref="Q1601:Q1664" si="67">Q1600+0.001</f>
        <v>1.5369999999999415</v>
      </c>
      <c r="R1601" s="276">
        <v>1.75</v>
      </c>
      <c r="S1601" s="533"/>
      <c r="T1601"/>
      <c r="U1601"/>
      <c r="V1601"/>
      <c r="W1601"/>
    </row>
    <row r="1602" spans="17:23">
      <c r="Q1602" s="275">
        <f t="shared" si="67"/>
        <v>1.5379999999999414</v>
      </c>
      <c r="R1602" s="276">
        <v>1.75</v>
      </c>
      <c r="S1602" s="533"/>
      <c r="T1602"/>
      <c r="U1602"/>
      <c r="V1602"/>
      <c r="W1602"/>
    </row>
    <row r="1603" spans="17:23">
      <c r="Q1603" s="275">
        <f t="shared" si="67"/>
        <v>1.5389999999999413</v>
      </c>
      <c r="R1603" s="276">
        <v>1.75</v>
      </c>
      <c r="S1603" s="533"/>
      <c r="T1603"/>
      <c r="U1603"/>
      <c r="V1603"/>
      <c r="W1603"/>
    </row>
    <row r="1604" spans="17:23">
      <c r="Q1604" s="275">
        <f t="shared" si="67"/>
        <v>1.5399999999999412</v>
      </c>
      <c r="R1604" s="276">
        <v>1.75</v>
      </c>
      <c r="S1604" s="533"/>
      <c r="T1604"/>
      <c r="U1604"/>
      <c r="V1604"/>
      <c r="W1604"/>
    </row>
    <row r="1605" spans="17:23">
      <c r="Q1605" s="275">
        <f t="shared" si="67"/>
        <v>1.5409999999999411</v>
      </c>
      <c r="R1605" s="276">
        <v>1.75</v>
      </c>
      <c r="S1605" s="533"/>
      <c r="T1605"/>
      <c r="U1605"/>
      <c r="V1605"/>
      <c r="W1605"/>
    </row>
    <row r="1606" spans="17:23">
      <c r="Q1606" s="275">
        <f t="shared" si="67"/>
        <v>1.541999999999941</v>
      </c>
      <c r="R1606" s="276">
        <v>1.75</v>
      </c>
      <c r="S1606" s="533"/>
      <c r="T1606"/>
      <c r="U1606"/>
      <c r="V1606"/>
      <c r="W1606"/>
    </row>
    <row r="1607" spans="17:23">
      <c r="Q1607" s="275">
        <f t="shared" si="67"/>
        <v>1.5429999999999409</v>
      </c>
      <c r="R1607" s="276">
        <v>1.75</v>
      </c>
      <c r="S1607" s="533"/>
      <c r="T1607"/>
      <c r="U1607"/>
      <c r="V1607"/>
      <c r="W1607"/>
    </row>
    <row r="1608" spans="17:23">
      <c r="Q1608" s="275">
        <f t="shared" si="67"/>
        <v>1.5439999999999408</v>
      </c>
      <c r="R1608" s="276">
        <v>1.75</v>
      </c>
      <c r="S1608" s="533"/>
      <c r="T1608"/>
      <c r="U1608"/>
      <c r="V1608"/>
      <c r="W1608"/>
    </row>
    <row r="1609" spans="17:23">
      <c r="Q1609" s="275">
        <f t="shared" si="67"/>
        <v>1.5449999999999406</v>
      </c>
      <c r="R1609" s="276">
        <v>1.75</v>
      </c>
      <c r="S1609" s="533"/>
      <c r="T1609"/>
      <c r="U1609"/>
      <c r="V1609"/>
      <c r="W1609"/>
    </row>
    <row r="1610" spans="17:23">
      <c r="Q1610" s="275">
        <f t="shared" si="67"/>
        <v>1.5459999999999405</v>
      </c>
      <c r="R1610" s="276">
        <v>1.75</v>
      </c>
      <c r="S1610" s="533"/>
      <c r="T1610"/>
      <c r="U1610"/>
      <c r="V1610"/>
      <c r="W1610"/>
    </row>
    <row r="1611" spans="17:23">
      <c r="Q1611" s="275">
        <f t="shared" si="67"/>
        <v>1.5469999999999404</v>
      </c>
      <c r="R1611" s="276">
        <v>1.75</v>
      </c>
      <c r="S1611" s="533"/>
      <c r="T1611"/>
      <c r="U1611"/>
      <c r="V1611"/>
      <c r="W1611"/>
    </row>
    <row r="1612" spans="17:23">
      <c r="Q1612" s="275">
        <f t="shared" si="67"/>
        <v>1.5479999999999403</v>
      </c>
      <c r="R1612" s="276">
        <v>1.75</v>
      </c>
      <c r="S1612" s="533"/>
      <c r="T1612"/>
      <c r="U1612"/>
      <c r="V1612"/>
      <c r="W1612"/>
    </row>
    <row r="1613" spans="17:23">
      <c r="Q1613" s="275">
        <f t="shared" si="67"/>
        <v>1.5489999999999402</v>
      </c>
      <c r="R1613" s="276">
        <v>1.75</v>
      </c>
      <c r="S1613" s="533"/>
      <c r="T1613"/>
      <c r="U1613"/>
      <c r="V1613"/>
      <c r="W1613"/>
    </row>
    <row r="1614" spans="17:23">
      <c r="Q1614" s="275">
        <f t="shared" si="67"/>
        <v>1.5499999999999401</v>
      </c>
      <c r="R1614" s="276">
        <v>1.75</v>
      </c>
      <c r="S1614" s="533"/>
      <c r="T1614"/>
      <c r="U1614"/>
      <c r="V1614"/>
      <c r="W1614"/>
    </row>
    <row r="1615" spans="17:23">
      <c r="Q1615" s="275">
        <f t="shared" si="67"/>
        <v>1.55099999999994</v>
      </c>
      <c r="R1615" s="276">
        <v>1.75</v>
      </c>
      <c r="S1615" s="533"/>
      <c r="T1615"/>
      <c r="U1615"/>
      <c r="V1615"/>
      <c r="W1615"/>
    </row>
    <row r="1616" spans="17:23">
      <c r="Q1616" s="275">
        <f t="shared" si="67"/>
        <v>1.5519999999999399</v>
      </c>
      <c r="R1616" s="276">
        <v>1.75</v>
      </c>
      <c r="S1616" s="533"/>
      <c r="T1616"/>
      <c r="U1616"/>
      <c r="V1616"/>
      <c r="W1616"/>
    </row>
    <row r="1617" spans="17:23">
      <c r="Q1617" s="275">
        <f t="shared" si="67"/>
        <v>1.5529999999999398</v>
      </c>
      <c r="R1617" s="276">
        <v>1.75</v>
      </c>
      <c r="S1617" s="533"/>
      <c r="T1617"/>
      <c r="U1617"/>
      <c r="V1617"/>
      <c r="W1617"/>
    </row>
    <row r="1618" spans="17:23">
      <c r="Q1618" s="275">
        <f t="shared" si="67"/>
        <v>1.5539999999999397</v>
      </c>
      <c r="R1618" s="276">
        <v>1.75</v>
      </c>
      <c r="S1618" s="533"/>
      <c r="T1618"/>
      <c r="U1618"/>
      <c r="V1618"/>
      <c r="W1618"/>
    </row>
    <row r="1619" spans="17:23">
      <c r="Q1619" s="275">
        <f t="shared" si="67"/>
        <v>1.5549999999999395</v>
      </c>
      <c r="R1619" s="276">
        <v>1.75</v>
      </c>
      <c r="S1619" s="533"/>
      <c r="T1619"/>
      <c r="U1619"/>
      <c r="V1619"/>
      <c r="W1619"/>
    </row>
    <row r="1620" spans="17:23">
      <c r="Q1620" s="275">
        <f t="shared" si="67"/>
        <v>1.5559999999999394</v>
      </c>
      <c r="R1620" s="276">
        <v>1.75</v>
      </c>
      <c r="S1620" s="533"/>
      <c r="T1620"/>
      <c r="U1620"/>
      <c r="V1620"/>
      <c r="W1620"/>
    </row>
    <row r="1621" spans="17:23">
      <c r="Q1621" s="275">
        <f t="shared" si="67"/>
        <v>1.5569999999999393</v>
      </c>
      <c r="R1621" s="276">
        <v>1.75</v>
      </c>
      <c r="S1621" s="533"/>
      <c r="T1621"/>
      <c r="U1621"/>
      <c r="V1621"/>
      <c r="W1621"/>
    </row>
    <row r="1622" spans="17:23">
      <c r="Q1622" s="275">
        <f t="shared" si="67"/>
        <v>1.5579999999999392</v>
      </c>
      <c r="R1622" s="276">
        <v>1.75</v>
      </c>
      <c r="S1622" s="533"/>
      <c r="T1622"/>
      <c r="U1622"/>
      <c r="V1622"/>
      <c r="W1622"/>
    </row>
    <row r="1623" spans="17:23">
      <c r="Q1623" s="275">
        <f t="shared" si="67"/>
        <v>1.5589999999999391</v>
      </c>
      <c r="R1623" s="276">
        <v>1.75</v>
      </c>
      <c r="S1623" s="533"/>
      <c r="T1623"/>
      <c r="U1623"/>
      <c r="V1623"/>
      <c r="W1623"/>
    </row>
    <row r="1624" spans="17:23">
      <c r="Q1624" s="275">
        <f t="shared" si="67"/>
        <v>1.559999999999939</v>
      </c>
      <c r="R1624" s="276">
        <v>1.75</v>
      </c>
      <c r="S1624" s="533"/>
      <c r="T1624"/>
      <c r="U1624"/>
      <c r="V1624"/>
      <c r="W1624"/>
    </row>
    <row r="1625" spans="17:23">
      <c r="Q1625" s="275">
        <f t="shared" si="67"/>
        <v>1.5609999999999389</v>
      </c>
      <c r="R1625" s="276">
        <v>1.75</v>
      </c>
      <c r="S1625" s="533"/>
      <c r="T1625"/>
      <c r="U1625"/>
      <c r="V1625"/>
      <c r="W1625"/>
    </row>
    <row r="1626" spans="17:23">
      <c r="Q1626" s="275">
        <f t="shared" si="67"/>
        <v>1.5619999999999388</v>
      </c>
      <c r="R1626" s="276">
        <v>1.75</v>
      </c>
      <c r="S1626" s="533"/>
      <c r="T1626"/>
      <c r="U1626"/>
      <c r="V1626"/>
      <c r="W1626"/>
    </row>
    <row r="1627" spans="17:23">
      <c r="Q1627" s="275">
        <f t="shared" si="67"/>
        <v>1.5629999999999387</v>
      </c>
      <c r="R1627" s="276">
        <v>1.75</v>
      </c>
      <c r="S1627" s="533"/>
      <c r="T1627"/>
      <c r="U1627"/>
      <c r="V1627"/>
      <c r="W1627"/>
    </row>
    <row r="1628" spans="17:23">
      <c r="Q1628" s="275">
        <f t="shared" si="67"/>
        <v>1.5639999999999386</v>
      </c>
      <c r="R1628" s="276">
        <v>1.75</v>
      </c>
      <c r="S1628" s="533"/>
      <c r="T1628"/>
      <c r="U1628"/>
      <c r="V1628"/>
      <c r="W1628"/>
    </row>
    <row r="1629" spans="17:23">
      <c r="Q1629" s="275">
        <f t="shared" si="67"/>
        <v>1.5649999999999384</v>
      </c>
      <c r="R1629" s="276">
        <v>1.75</v>
      </c>
      <c r="S1629" s="533"/>
      <c r="T1629"/>
      <c r="U1629"/>
      <c r="V1629"/>
      <c r="W1629"/>
    </row>
    <row r="1630" spans="17:23">
      <c r="Q1630" s="275">
        <f t="shared" si="67"/>
        <v>1.5659999999999383</v>
      </c>
      <c r="R1630" s="276">
        <v>1.75</v>
      </c>
      <c r="S1630" s="533"/>
      <c r="T1630"/>
      <c r="U1630"/>
      <c r="V1630"/>
      <c r="W1630"/>
    </row>
    <row r="1631" spans="17:23">
      <c r="Q1631" s="275">
        <f t="shared" si="67"/>
        <v>1.5669999999999382</v>
      </c>
      <c r="R1631" s="276">
        <v>1.75</v>
      </c>
      <c r="S1631" s="533"/>
      <c r="T1631"/>
      <c r="U1631"/>
      <c r="V1631"/>
      <c r="W1631"/>
    </row>
    <row r="1632" spans="17:23">
      <c r="Q1632" s="275">
        <f t="shared" si="67"/>
        <v>1.5679999999999381</v>
      </c>
      <c r="R1632" s="276">
        <v>1.75</v>
      </c>
      <c r="S1632" s="533"/>
      <c r="T1632"/>
      <c r="U1632"/>
      <c r="V1632"/>
      <c r="W1632"/>
    </row>
    <row r="1633" spans="17:23">
      <c r="Q1633" s="275">
        <f t="shared" si="67"/>
        <v>1.568999999999938</v>
      </c>
      <c r="R1633" s="276">
        <v>1.75</v>
      </c>
      <c r="S1633" s="533"/>
      <c r="T1633"/>
      <c r="U1633"/>
      <c r="V1633"/>
      <c r="W1633"/>
    </row>
    <row r="1634" spans="17:23">
      <c r="Q1634" s="275">
        <f t="shared" si="67"/>
        <v>1.5699999999999379</v>
      </c>
      <c r="R1634" s="276">
        <v>1.75</v>
      </c>
      <c r="S1634" s="533"/>
      <c r="T1634"/>
      <c r="U1634"/>
      <c r="V1634"/>
      <c r="W1634"/>
    </row>
    <row r="1635" spans="17:23">
      <c r="Q1635" s="275">
        <f t="shared" si="67"/>
        <v>1.5709999999999378</v>
      </c>
      <c r="R1635" s="276">
        <v>1.75</v>
      </c>
      <c r="S1635" s="533"/>
      <c r="T1635"/>
      <c r="U1635"/>
      <c r="V1635"/>
      <c r="W1635"/>
    </row>
    <row r="1636" spans="17:23">
      <c r="Q1636" s="275">
        <f t="shared" si="67"/>
        <v>1.5719999999999377</v>
      </c>
      <c r="R1636" s="276">
        <v>1.75</v>
      </c>
      <c r="S1636" s="533"/>
      <c r="T1636"/>
      <c r="U1636"/>
      <c r="V1636"/>
      <c r="W1636"/>
    </row>
    <row r="1637" spans="17:23">
      <c r="Q1637" s="275">
        <f t="shared" si="67"/>
        <v>1.5729999999999376</v>
      </c>
      <c r="R1637" s="276">
        <v>1.75</v>
      </c>
      <c r="S1637" s="533"/>
      <c r="T1637"/>
      <c r="U1637"/>
      <c r="V1637"/>
      <c r="W1637"/>
    </row>
    <row r="1638" spans="17:23">
      <c r="Q1638" s="275">
        <f t="shared" si="67"/>
        <v>1.5739999999999374</v>
      </c>
      <c r="R1638" s="276">
        <v>1.75</v>
      </c>
      <c r="S1638" s="533"/>
      <c r="T1638"/>
      <c r="U1638"/>
      <c r="V1638"/>
      <c r="W1638"/>
    </row>
    <row r="1639" spans="17:23">
      <c r="Q1639" s="275">
        <f t="shared" si="67"/>
        <v>1.5749999999999373</v>
      </c>
      <c r="R1639" s="276">
        <v>1.75</v>
      </c>
      <c r="S1639" s="533"/>
      <c r="T1639"/>
      <c r="U1639"/>
      <c r="V1639"/>
      <c r="W1639"/>
    </row>
    <row r="1640" spans="17:23">
      <c r="Q1640" s="275">
        <f t="shared" si="67"/>
        <v>1.5759999999999372</v>
      </c>
      <c r="R1640" s="276">
        <v>1.75</v>
      </c>
      <c r="S1640" s="533"/>
      <c r="T1640"/>
      <c r="U1640"/>
      <c r="V1640"/>
      <c r="W1640"/>
    </row>
    <row r="1641" spans="17:23">
      <c r="Q1641" s="275">
        <f t="shared" si="67"/>
        <v>1.5769999999999371</v>
      </c>
      <c r="R1641" s="276">
        <v>1.75</v>
      </c>
      <c r="S1641" s="533"/>
      <c r="T1641"/>
      <c r="U1641"/>
      <c r="V1641"/>
      <c r="W1641"/>
    </row>
    <row r="1642" spans="17:23">
      <c r="Q1642" s="275">
        <f t="shared" si="67"/>
        <v>1.577999999999937</v>
      </c>
      <c r="R1642" s="276">
        <v>1.75</v>
      </c>
      <c r="S1642" s="533"/>
      <c r="T1642"/>
      <c r="U1642"/>
      <c r="V1642"/>
      <c r="W1642"/>
    </row>
    <row r="1643" spans="17:23">
      <c r="Q1643" s="275">
        <f t="shared" si="67"/>
        <v>1.5789999999999369</v>
      </c>
      <c r="R1643" s="276">
        <v>1.75</v>
      </c>
      <c r="S1643" s="533"/>
      <c r="T1643"/>
      <c r="U1643"/>
      <c r="V1643"/>
      <c r="W1643"/>
    </row>
    <row r="1644" spans="17:23">
      <c r="Q1644" s="275">
        <f t="shared" si="67"/>
        <v>1.5799999999999368</v>
      </c>
      <c r="R1644" s="276">
        <v>1.75</v>
      </c>
      <c r="S1644" s="533"/>
      <c r="T1644"/>
      <c r="U1644"/>
      <c r="V1644"/>
      <c r="W1644"/>
    </row>
    <row r="1645" spans="17:23">
      <c r="Q1645" s="275">
        <f t="shared" si="67"/>
        <v>1.5809999999999367</v>
      </c>
      <c r="R1645" s="276">
        <v>1.75</v>
      </c>
      <c r="S1645" s="533"/>
      <c r="T1645"/>
      <c r="U1645"/>
      <c r="V1645"/>
      <c r="W1645"/>
    </row>
    <row r="1646" spans="17:23">
      <c r="Q1646" s="275">
        <f t="shared" si="67"/>
        <v>1.5819999999999366</v>
      </c>
      <c r="R1646" s="276">
        <v>1.75</v>
      </c>
      <c r="S1646" s="533"/>
      <c r="T1646"/>
      <c r="U1646"/>
      <c r="V1646"/>
      <c r="W1646"/>
    </row>
    <row r="1647" spans="17:23">
      <c r="Q1647" s="275">
        <f t="shared" si="67"/>
        <v>1.5829999999999365</v>
      </c>
      <c r="R1647" s="276">
        <v>1.75</v>
      </c>
      <c r="S1647" s="533"/>
      <c r="T1647"/>
      <c r="U1647"/>
      <c r="V1647"/>
      <c r="W1647"/>
    </row>
    <row r="1648" spans="17:23">
      <c r="Q1648" s="275">
        <f t="shared" si="67"/>
        <v>1.5839999999999363</v>
      </c>
      <c r="R1648" s="276">
        <v>1.75</v>
      </c>
      <c r="S1648" s="533"/>
      <c r="T1648"/>
      <c r="U1648"/>
      <c r="V1648"/>
      <c r="W1648"/>
    </row>
    <row r="1649" spans="17:23">
      <c r="Q1649" s="275">
        <f t="shared" si="67"/>
        <v>1.5849999999999362</v>
      </c>
      <c r="R1649" s="276">
        <v>1.75</v>
      </c>
      <c r="S1649" s="533"/>
      <c r="T1649"/>
      <c r="U1649"/>
      <c r="V1649"/>
      <c r="W1649"/>
    </row>
    <row r="1650" spans="17:23">
      <c r="Q1650" s="275">
        <f t="shared" si="67"/>
        <v>1.5859999999999361</v>
      </c>
      <c r="R1650" s="276">
        <v>1.75</v>
      </c>
      <c r="S1650" s="533"/>
      <c r="T1650"/>
      <c r="U1650"/>
      <c r="V1650"/>
      <c r="W1650"/>
    </row>
    <row r="1651" spans="17:23">
      <c r="Q1651" s="275">
        <f t="shared" si="67"/>
        <v>1.586999999999936</v>
      </c>
      <c r="R1651" s="276">
        <v>1.75</v>
      </c>
      <c r="S1651" s="533"/>
      <c r="T1651"/>
      <c r="U1651"/>
      <c r="V1651"/>
      <c r="W1651"/>
    </row>
    <row r="1652" spans="17:23">
      <c r="Q1652" s="275">
        <f t="shared" si="67"/>
        <v>1.5879999999999359</v>
      </c>
      <c r="R1652" s="276">
        <v>1.75</v>
      </c>
      <c r="S1652" s="533"/>
      <c r="T1652"/>
      <c r="U1652"/>
      <c r="V1652"/>
      <c r="W1652"/>
    </row>
    <row r="1653" spans="17:23">
      <c r="Q1653" s="275">
        <f t="shared" si="67"/>
        <v>1.5889999999999358</v>
      </c>
      <c r="R1653" s="276">
        <v>1.75</v>
      </c>
      <c r="S1653" s="533"/>
      <c r="T1653"/>
      <c r="U1653"/>
      <c r="V1653"/>
      <c r="W1653"/>
    </row>
    <row r="1654" spans="17:23">
      <c r="Q1654" s="275">
        <f t="shared" si="67"/>
        <v>1.5899999999999357</v>
      </c>
      <c r="R1654" s="276">
        <v>1.75</v>
      </c>
      <c r="S1654" s="533"/>
      <c r="T1654"/>
      <c r="U1654"/>
      <c r="V1654"/>
      <c r="W1654"/>
    </row>
    <row r="1655" spans="17:23">
      <c r="Q1655" s="275">
        <f t="shared" si="67"/>
        <v>1.5909999999999356</v>
      </c>
      <c r="R1655" s="276">
        <v>1.75</v>
      </c>
      <c r="S1655" s="533"/>
      <c r="T1655"/>
      <c r="U1655"/>
      <c r="V1655"/>
      <c r="W1655"/>
    </row>
    <row r="1656" spans="17:23">
      <c r="Q1656" s="275">
        <f t="shared" si="67"/>
        <v>1.5919999999999355</v>
      </c>
      <c r="R1656" s="276">
        <v>1.75</v>
      </c>
      <c r="S1656" s="533"/>
      <c r="T1656"/>
      <c r="U1656"/>
      <c r="V1656"/>
      <c r="W1656"/>
    </row>
    <row r="1657" spans="17:23">
      <c r="Q1657" s="275">
        <f t="shared" si="67"/>
        <v>1.5929999999999354</v>
      </c>
      <c r="R1657" s="276">
        <v>1.75</v>
      </c>
      <c r="S1657" s="533"/>
      <c r="T1657"/>
      <c r="U1657"/>
      <c r="V1657"/>
      <c r="W1657"/>
    </row>
    <row r="1658" spans="17:23">
      <c r="Q1658" s="275">
        <f t="shared" si="67"/>
        <v>1.5939999999999352</v>
      </c>
      <c r="R1658" s="276">
        <v>1.75</v>
      </c>
      <c r="S1658" s="533"/>
      <c r="T1658"/>
      <c r="U1658"/>
      <c r="V1658"/>
      <c r="W1658"/>
    </row>
    <row r="1659" spans="17:23">
      <c r="Q1659" s="275">
        <f t="shared" si="67"/>
        <v>1.5949999999999351</v>
      </c>
      <c r="R1659" s="276">
        <v>1.75</v>
      </c>
      <c r="S1659" s="533"/>
      <c r="T1659"/>
      <c r="U1659"/>
      <c r="V1659"/>
      <c r="W1659"/>
    </row>
    <row r="1660" spans="17:23">
      <c r="Q1660" s="275">
        <f t="shared" si="67"/>
        <v>1.595999999999935</v>
      </c>
      <c r="R1660" s="276">
        <v>1.75</v>
      </c>
      <c r="S1660" s="533"/>
      <c r="T1660"/>
      <c r="U1660"/>
      <c r="V1660"/>
      <c r="W1660"/>
    </row>
    <row r="1661" spans="17:23">
      <c r="Q1661" s="275">
        <f t="shared" si="67"/>
        <v>1.5969999999999349</v>
      </c>
      <c r="R1661" s="276">
        <v>1.75</v>
      </c>
      <c r="S1661" s="533"/>
      <c r="T1661"/>
      <c r="U1661"/>
      <c r="V1661"/>
      <c r="W1661"/>
    </row>
    <row r="1662" spans="17:23">
      <c r="Q1662" s="275">
        <f t="shared" si="67"/>
        <v>1.5979999999999348</v>
      </c>
      <c r="R1662" s="276">
        <v>1.75</v>
      </c>
      <c r="S1662" s="533"/>
      <c r="T1662"/>
      <c r="U1662"/>
      <c r="V1662"/>
      <c r="W1662"/>
    </row>
    <row r="1663" spans="17:23">
      <c r="Q1663" s="275">
        <f t="shared" si="67"/>
        <v>1.5989999999999347</v>
      </c>
      <c r="R1663" s="276">
        <v>1.75</v>
      </c>
      <c r="S1663" s="533"/>
      <c r="T1663"/>
      <c r="U1663"/>
      <c r="V1663"/>
      <c r="W1663"/>
    </row>
    <row r="1664" spans="17:23">
      <c r="Q1664" s="275">
        <f t="shared" si="67"/>
        <v>1.5999999999999346</v>
      </c>
      <c r="R1664" s="276">
        <v>1.75</v>
      </c>
      <c r="S1664" s="533"/>
      <c r="T1664"/>
      <c r="U1664"/>
      <c r="V1664"/>
      <c r="W1664"/>
    </row>
    <row r="1665" spans="17:23">
      <c r="Q1665" s="275">
        <f t="shared" ref="Q1665:Q1728" si="68">Q1664+0.001</f>
        <v>1.6009999999999345</v>
      </c>
      <c r="R1665" s="276">
        <v>1.75</v>
      </c>
      <c r="S1665" s="533"/>
      <c r="T1665"/>
      <c r="U1665"/>
      <c r="V1665"/>
      <c r="W1665"/>
    </row>
    <row r="1666" spans="17:23">
      <c r="Q1666" s="275">
        <f t="shared" si="68"/>
        <v>1.6019999999999344</v>
      </c>
      <c r="R1666" s="276">
        <v>1.75</v>
      </c>
      <c r="S1666" s="533"/>
      <c r="T1666"/>
      <c r="U1666"/>
      <c r="V1666"/>
      <c r="W1666"/>
    </row>
    <row r="1667" spans="17:23">
      <c r="Q1667" s="275">
        <f t="shared" si="68"/>
        <v>1.6029999999999343</v>
      </c>
      <c r="R1667" s="276">
        <v>1.75</v>
      </c>
      <c r="S1667" s="533"/>
      <c r="T1667"/>
      <c r="U1667"/>
      <c r="V1667"/>
      <c r="W1667"/>
    </row>
    <row r="1668" spans="17:23">
      <c r="Q1668" s="275">
        <f t="shared" si="68"/>
        <v>1.6039999999999341</v>
      </c>
      <c r="R1668" s="276">
        <v>1.75</v>
      </c>
      <c r="S1668" s="533"/>
      <c r="T1668"/>
      <c r="U1668"/>
      <c r="V1668"/>
      <c r="W1668"/>
    </row>
    <row r="1669" spans="17:23">
      <c r="Q1669" s="275">
        <f t="shared" si="68"/>
        <v>1.604999999999934</v>
      </c>
      <c r="R1669" s="276">
        <v>1.75</v>
      </c>
      <c r="S1669" s="533"/>
      <c r="T1669"/>
      <c r="U1669"/>
      <c r="V1669"/>
      <c r="W1669"/>
    </row>
    <row r="1670" spans="17:23">
      <c r="Q1670" s="275">
        <f t="shared" si="68"/>
        <v>1.6059999999999339</v>
      </c>
      <c r="R1670" s="276">
        <v>1.75</v>
      </c>
      <c r="S1670" s="533"/>
      <c r="T1670"/>
      <c r="U1670"/>
      <c r="V1670"/>
      <c r="W1670"/>
    </row>
    <row r="1671" spans="17:23">
      <c r="Q1671" s="275">
        <f t="shared" si="68"/>
        <v>1.6069999999999338</v>
      </c>
      <c r="R1671" s="276">
        <v>1.75</v>
      </c>
      <c r="S1671" s="533"/>
      <c r="T1671"/>
      <c r="U1671"/>
      <c r="V1671"/>
      <c r="W1671"/>
    </row>
    <row r="1672" spans="17:23">
      <c r="Q1672" s="275">
        <f t="shared" si="68"/>
        <v>1.6079999999999337</v>
      </c>
      <c r="R1672" s="276">
        <v>1.75</v>
      </c>
      <c r="S1672" s="533"/>
      <c r="T1672"/>
      <c r="U1672"/>
      <c r="V1672"/>
      <c r="W1672"/>
    </row>
    <row r="1673" spans="17:23">
      <c r="Q1673" s="275">
        <f t="shared" si="68"/>
        <v>1.6089999999999336</v>
      </c>
      <c r="R1673" s="276">
        <v>1.75</v>
      </c>
      <c r="S1673" s="533"/>
      <c r="T1673"/>
      <c r="U1673"/>
      <c r="V1673"/>
      <c r="W1673"/>
    </row>
    <row r="1674" spans="17:23">
      <c r="Q1674" s="275">
        <f t="shared" si="68"/>
        <v>1.6099999999999335</v>
      </c>
      <c r="R1674" s="276">
        <v>1.75</v>
      </c>
      <c r="S1674" s="533"/>
      <c r="T1674"/>
      <c r="U1674"/>
      <c r="V1674"/>
      <c r="W1674"/>
    </row>
    <row r="1675" spans="17:23">
      <c r="Q1675" s="275">
        <f t="shared" si="68"/>
        <v>1.6109999999999334</v>
      </c>
      <c r="R1675" s="276">
        <v>1.75</v>
      </c>
      <c r="S1675" s="533"/>
      <c r="T1675"/>
      <c r="U1675"/>
      <c r="V1675"/>
      <c r="W1675"/>
    </row>
    <row r="1676" spans="17:23">
      <c r="Q1676" s="275">
        <f t="shared" si="68"/>
        <v>1.6119999999999333</v>
      </c>
      <c r="R1676" s="276">
        <v>1.75</v>
      </c>
      <c r="S1676" s="533"/>
      <c r="T1676"/>
      <c r="U1676"/>
      <c r="V1676"/>
      <c r="W1676"/>
    </row>
    <row r="1677" spans="17:23">
      <c r="Q1677" s="275">
        <f t="shared" si="68"/>
        <v>1.6129999999999332</v>
      </c>
      <c r="R1677" s="276">
        <v>1.75</v>
      </c>
      <c r="S1677" s="533"/>
      <c r="T1677"/>
      <c r="U1677"/>
      <c r="V1677"/>
      <c r="W1677"/>
    </row>
    <row r="1678" spans="17:23">
      <c r="Q1678" s="275">
        <f t="shared" si="68"/>
        <v>1.613999999999933</v>
      </c>
      <c r="R1678" s="276">
        <v>1.75</v>
      </c>
      <c r="S1678" s="533"/>
      <c r="T1678"/>
      <c r="U1678"/>
      <c r="V1678"/>
      <c r="W1678"/>
    </row>
    <row r="1679" spans="17:23">
      <c r="Q1679" s="275">
        <f t="shared" si="68"/>
        <v>1.6149999999999329</v>
      </c>
      <c r="R1679" s="276">
        <v>1.75</v>
      </c>
      <c r="S1679" s="533"/>
      <c r="T1679"/>
      <c r="U1679"/>
      <c r="V1679"/>
      <c r="W1679"/>
    </row>
    <row r="1680" spans="17:23">
      <c r="Q1680" s="275">
        <f t="shared" si="68"/>
        <v>1.6159999999999328</v>
      </c>
      <c r="R1680" s="276">
        <v>1.75</v>
      </c>
      <c r="S1680" s="533"/>
      <c r="T1680"/>
      <c r="U1680"/>
      <c r="V1680"/>
      <c r="W1680"/>
    </row>
    <row r="1681" spans="17:23">
      <c r="Q1681" s="275">
        <f t="shared" si="68"/>
        <v>1.6169999999999327</v>
      </c>
      <c r="R1681" s="276">
        <v>1.75</v>
      </c>
      <c r="S1681" s="533"/>
      <c r="T1681"/>
      <c r="U1681"/>
      <c r="V1681"/>
      <c r="W1681"/>
    </row>
    <row r="1682" spans="17:23">
      <c r="Q1682" s="275">
        <f t="shared" si="68"/>
        <v>1.6179999999999326</v>
      </c>
      <c r="R1682" s="276">
        <v>1.75</v>
      </c>
      <c r="S1682" s="533"/>
      <c r="T1682"/>
      <c r="U1682"/>
      <c r="V1682"/>
      <c r="W1682"/>
    </row>
    <row r="1683" spans="17:23">
      <c r="Q1683" s="275">
        <f t="shared" si="68"/>
        <v>1.6189999999999325</v>
      </c>
      <c r="R1683" s="276">
        <v>1.75</v>
      </c>
      <c r="S1683" s="533"/>
      <c r="T1683"/>
      <c r="U1683"/>
      <c r="V1683"/>
      <c r="W1683"/>
    </row>
    <row r="1684" spans="17:23">
      <c r="Q1684" s="275">
        <f t="shared" si="68"/>
        <v>1.6199999999999324</v>
      </c>
      <c r="R1684" s="276">
        <v>1.75</v>
      </c>
      <c r="S1684" s="533"/>
      <c r="T1684"/>
      <c r="U1684"/>
      <c r="V1684"/>
      <c r="W1684"/>
    </row>
    <row r="1685" spans="17:23">
      <c r="Q1685" s="275">
        <f t="shared" si="68"/>
        <v>1.6209999999999323</v>
      </c>
      <c r="R1685" s="276">
        <v>1.75</v>
      </c>
      <c r="S1685" s="533"/>
      <c r="T1685"/>
      <c r="U1685"/>
      <c r="V1685"/>
      <c r="W1685"/>
    </row>
    <row r="1686" spans="17:23">
      <c r="Q1686" s="275">
        <f t="shared" si="68"/>
        <v>1.6219999999999322</v>
      </c>
      <c r="R1686" s="276">
        <v>1.75</v>
      </c>
      <c r="S1686" s="533"/>
      <c r="T1686"/>
      <c r="U1686"/>
      <c r="V1686"/>
      <c r="W1686"/>
    </row>
    <row r="1687" spans="17:23">
      <c r="Q1687" s="275">
        <f t="shared" si="68"/>
        <v>1.6229999999999321</v>
      </c>
      <c r="R1687" s="276">
        <v>1.75</v>
      </c>
      <c r="S1687" s="533"/>
      <c r="T1687"/>
      <c r="U1687"/>
      <c r="V1687"/>
      <c r="W1687"/>
    </row>
    <row r="1688" spans="17:23">
      <c r="Q1688" s="275">
        <f t="shared" si="68"/>
        <v>1.6239999999999319</v>
      </c>
      <c r="R1688" s="276">
        <v>1.75</v>
      </c>
      <c r="S1688" s="533"/>
      <c r="T1688"/>
      <c r="U1688"/>
      <c r="V1688"/>
      <c r="W1688"/>
    </row>
    <row r="1689" spans="17:23">
      <c r="Q1689" s="275">
        <f t="shared" si="68"/>
        <v>1.6249999999999318</v>
      </c>
      <c r="R1689" s="276">
        <v>1.75</v>
      </c>
      <c r="S1689" s="533"/>
      <c r="T1689"/>
      <c r="U1689"/>
      <c r="V1689"/>
      <c r="W1689"/>
    </row>
    <row r="1690" spans="17:23">
      <c r="Q1690" s="275">
        <f t="shared" si="68"/>
        <v>1.6259999999999317</v>
      </c>
      <c r="R1690" s="276">
        <v>1.75</v>
      </c>
      <c r="S1690" s="533"/>
      <c r="T1690"/>
      <c r="U1690"/>
      <c r="V1690"/>
      <c r="W1690"/>
    </row>
    <row r="1691" spans="17:23">
      <c r="Q1691" s="275">
        <f t="shared" si="68"/>
        <v>1.6269999999999316</v>
      </c>
      <c r="R1691" s="276">
        <v>1.75</v>
      </c>
      <c r="S1691" s="533"/>
      <c r="T1691"/>
      <c r="U1691"/>
      <c r="V1691"/>
      <c r="W1691"/>
    </row>
    <row r="1692" spans="17:23">
      <c r="Q1692" s="275">
        <f t="shared" si="68"/>
        <v>1.6279999999999315</v>
      </c>
      <c r="R1692" s="276">
        <v>1.75</v>
      </c>
      <c r="S1692" s="533"/>
      <c r="T1692"/>
      <c r="U1692"/>
      <c r="V1692"/>
      <c r="W1692"/>
    </row>
    <row r="1693" spans="17:23">
      <c r="Q1693" s="275">
        <f t="shared" si="68"/>
        <v>1.6289999999999314</v>
      </c>
      <c r="R1693" s="276">
        <v>1.75</v>
      </c>
      <c r="S1693" s="533"/>
      <c r="T1693"/>
      <c r="U1693"/>
      <c r="V1693"/>
      <c r="W1693"/>
    </row>
    <row r="1694" spans="17:23">
      <c r="Q1694" s="275">
        <f t="shared" si="68"/>
        <v>1.6299999999999313</v>
      </c>
      <c r="R1694" s="276">
        <v>1.75</v>
      </c>
      <c r="S1694" s="533"/>
      <c r="T1694"/>
      <c r="U1694"/>
      <c r="V1694"/>
      <c r="W1694"/>
    </row>
    <row r="1695" spans="17:23">
      <c r="Q1695" s="275">
        <f t="shared" si="68"/>
        <v>1.6309999999999312</v>
      </c>
      <c r="R1695" s="276">
        <v>1.75</v>
      </c>
      <c r="S1695" s="533"/>
      <c r="T1695"/>
      <c r="U1695"/>
      <c r="V1695"/>
      <c r="W1695"/>
    </row>
    <row r="1696" spans="17:23">
      <c r="Q1696" s="275">
        <f t="shared" si="68"/>
        <v>1.6319999999999311</v>
      </c>
      <c r="R1696" s="276">
        <v>1.75</v>
      </c>
      <c r="S1696" s="533"/>
      <c r="T1696"/>
      <c r="U1696"/>
      <c r="V1696"/>
      <c r="W1696"/>
    </row>
    <row r="1697" spans="17:23">
      <c r="Q1697" s="275">
        <f t="shared" si="68"/>
        <v>1.632999999999931</v>
      </c>
      <c r="R1697" s="276">
        <v>1.75</v>
      </c>
      <c r="S1697" s="533"/>
      <c r="T1697"/>
      <c r="U1697"/>
      <c r="V1697"/>
      <c r="W1697"/>
    </row>
    <row r="1698" spans="17:23">
      <c r="Q1698" s="275">
        <f t="shared" si="68"/>
        <v>1.6339999999999308</v>
      </c>
      <c r="R1698" s="276">
        <v>1.75</v>
      </c>
      <c r="S1698" s="533"/>
      <c r="T1698"/>
      <c r="U1698"/>
      <c r="V1698"/>
      <c r="W1698"/>
    </row>
    <row r="1699" spans="17:23">
      <c r="Q1699" s="275">
        <f t="shared" si="68"/>
        <v>1.6349999999999307</v>
      </c>
      <c r="R1699" s="276">
        <v>1.75</v>
      </c>
      <c r="S1699" s="533"/>
      <c r="T1699"/>
      <c r="U1699"/>
      <c r="V1699"/>
      <c r="W1699"/>
    </row>
    <row r="1700" spans="17:23">
      <c r="Q1700" s="275">
        <f t="shared" si="68"/>
        <v>1.6359999999999306</v>
      </c>
      <c r="R1700" s="276">
        <v>1.75</v>
      </c>
      <c r="S1700" s="533"/>
      <c r="T1700"/>
      <c r="U1700"/>
      <c r="V1700"/>
      <c r="W1700"/>
    </row>
    <row r="1701" spans="17:23">
      <c r="Q1701" s="275">
        <f t="shared" si="68"/>
        <v>1.6369999999999305</v>
      </c>
      <c r="R1701" s="276">
        <v>1.75</v>
      </c>
      <c r="S1701" s="533"/>
      <c r="T1701"/>
      <c r="U1701"/>
      <c r="V1701"/>
      <c r="W1701"/>
    </row>
    <row r="1702" spans="17:23">
      <c r="Q1702" s="275">
        <f t="shared" si="68"/>
        <v>1.6379999999999304</v>
      </c>
      <c r="R1702" s="276">
        <v>1.75</v>
      </c>
      <c r="S1702" s="533"/>
      <c r="T1702"/>
      <c r="U1702"/>
      <c r="V1702"/>
      <c r="W1702"/>
    </row>
    <row r="1703" spans="17:23">
      <c r="Q1703" s="275">
        <f t="shared" si="68"/>
        <v>1.6389999999999303</v>
      </c>
      <c r="R1703" s="276">
        <v>1.75</v>
      </c>
      <c r="S1703" s="533"/>
      <c r="T1703"/>
      <c r="U1703"/>
      <c r="V1703"/>
      <c r="W1703"/>
    </row>
    <row r="1704" spans="17:23">
      <c r="Q1704" s="275">
        <f t="shared" si="68"/>
        <v>1.6399999999999302</v>
      </c>
      <c r="R1704" s="276">
        <v>1.75</v>
      </c>
      <c r="S1704" s="533"/>
      <c r="T1704"/>
      <c r="U1704"/>
      <c r="V1704"/>
      <c r="W1704"/>
    </row>
    <row r="1705" spans="17:23">
      <c r="Q1705" s="275">
        <f t="shared" si="68"/>
        <v>1.6409999999999301</v>
      </c>
      <c r="R1705" s="276">
        <v>1.75</v>
      </c>
      <c r="S1705" s="533"/>
      <c r="T1705"/>
      <c r="U1705"/>
      <c r="V1705"/>
      <c r="W1705"/>
    </row>
    <row r="1706" spans="17:23">
      <c r="Q1706" s="275">
        <f t="shared" si="68"/>
        <v>1.64199999999993</v>
      </c>
      <c r="R1706" s="276">
        <v>1.75</v>
      </c>
      <c r="S1706" s="533"/>
      <c r="T1706"/>
      <c r="U1706"/>
      <c r="V1706"/>
      <c r="W1706"/>
    </row>
    <row r="1707" spans="17:23">
      <c r="Q1707" s="275">
        <f t="shared" si="68"/>
        <v>1.6429999999999298</v>
      </c>
      <c r="R1707" s="276">
        <v>1.75</v>
      </c>
      <c r="S1707" s="533"/>
      <c r="T1707"/>
      <c r="U1707"/>
      <c r="V1707"/>
      <c r="W1707"/>
    </row>
    <row r="1708" spans="17:23">
      <c r="Q1708" s="275">
        <f t="shared" si="68"/>
        <v>1.6439999999999297</v>
      </c>
      <c r="R1708" s="276">
        <v>1.75</v>
      </c>
      <c r="S1708" s="533"/>
      <c r="T1708"/>
      <c r="U1708"/>
      <c r="V1708"/>
      <c r="W1708"/>
    </row>
    <row r="1709" spans="17:23">
      <c r="Q1709" s="275">
        <f t="shared" si="68"/>
        <v>1.6449999999999296</v>
      </c>
      <c r="R1709" s="276">
        <v>1.75</v>
      </c>
      <c r="S1709" s="533"/>
      <c r="T1709"/>
      <c r="U1709"/>
      <c r="V1709"/>
      <c r="W1709"/>
    </row>
    <row r="1710" spans="17:23">
      <c r="Q1710" s="275">
        <f t="shared" si="68"/>
        <v>1.6459999999999295</v>
      </c>
      <c r="R1710" s="276">
        <v>1.75</v>
      </c>
      <c r="S1710" s="533"/>
      <c r="T1710"/>
      <c r="U1710"/>
      <c r="V1710"/>
      <c r="W1710"/>
    </row>
    <row r="1711" spans="17:23">
      <c r="Q1711" s="275">
        <f t="shared" si="68"/>
        <v>1.6469999999999294</v>
      </c>
      <c r="R1711" s="276">
        <v>1.75</v>
      </c>
      <c r="S1711" s="533"/>
      <c r="T1711"/>
      <c r="U1711"/>
      <c r="V1711"/>
      <c r="W1711"/>
    </row>
    <row r="1712" spans="17:23">
      <c r="Q1712" s="275">
        <f t="shared" si="68"/>
        <v>1.6479999999999293</v>
      </c>
      <c r="R1712" s="276">
        <v>1.75</v>
      </c>
      <c r="S1712" s="533"/>
      <c r="T1712"/>
      <c r="U1712"/>
      <c r="V1712"/>
      <c r="W1712"/>
    </row>
    <row r="1713" spans="17:23">
      <c r="Q1713" s="275">
        <f t="shared" si="68"/>
        <v>1.6489999999999292</v>
      </c>
      <c r="R1713" s="276">
        <v>1.75</v>
      </c>
      <c r="S1713" s="533"/>
      <c r="T1713"/>
      <c r="U1713"/>
      <c r="V1713"/>
      <c r="W1713"/>
    </row>
    <row r="1714" spans="17:23">
      <c r="Q1714" s="275">
        <f t="shared" si="68"/>
        <v>1.6499999999999291</v>
      </c>
      <c r="R1714" s="276">
        <v>1.75</v>
      </c>
      <c r="S1714" s="533"/>
      <c r="T1714"/>
      <c r="U1714"/>
      <c r="V1714"/>
      <c r="W1714"/>
    </row>
    <row r="1715" spans="17:23">
      <c r="Q1715" s="275">
        <f t="shared" si="68"/>
        <v>1.650999999999929</v>
      </c>
      <c r="R1715" s="276">
        <v>1.75</v>
      </c>
      <c r="S1715" s="533"/>
      <c r="T1715"/>
      <c r="U1715"/>
      <c r="V1715"/>
      <c r="W1715"/>
    </row>
    <row r="1716" spans="17:23">
      <c r="Q1716" s="275">
        <f t="shared" si="68"/>
        <v>1.6519999999999289</v>
      </c>
      <c r="R1716" s="276">
        <v>1.75</v>
      </c>
      <c r="S1716" s="533"/>
      <c r="T1716"/>
      <c r="U1716"/>
      <c r="V1716"/>
      <c r="W1716"/>
    </row>
    <row r="1717" spans="17:23">
      <c r="Q1717" s="275">
        <f t="shared" si="68"/>
        <v>1.6529999999999287</v>
      </c>
      <c r="R1717" s="276">
        <v>1.75</v>
      </c>
      <c r="S1717" s="533"/>
      <c r="T1717"/>
      <c r="U1717"/>
      <c r="V1717"/>
      <c r="W1717"/>
    </row>
    <row r="1718" spans="17:23">
      <c r="Q1718" s="275">
        <f t="shared" si="68"/>
        <v>1.6539999999999286</v>
      </c>
      <c r="R1718" s="276">
        <v>1.75</v>
      </c>
      <c r="S1718" s="533"/>
      <c r="T1718"/>
      <c r="U1718"/>
      <c r="V1718"/>
      <c r="W1718"/>
    </row>
    <row r="1719" spans="17:23">
      <c r="Q1719" s="275">
        <f t="shared" si="68"/>
        <v>1.6549999999999285</v>
      </c>
      <c r="R1719" s="276">
        <v>1.75</v>
      </c>
      <c r="S1719" s="533"/>
      <c r="T1719"/>
      <c r="U1719"/>
      <c r="V1719"/>
      <c r="W1719"/>
    </row>
    <row r="1720" spans="17:23">
      <c r="Q1720" s="275">
        <f t="shared" si="68"/>
        <v>1.6559999999999284</v>
      </c>
      <c r="R1720" s="276">
        <v>1.75</v>
      </c>
      <c r="S1720" s="533"/>
      <c r="T1720"/>
      <c r="U1720"/>
      <c r="V1720"/>
      <c r="W1720"/>
    </row>
    <row r="1721" spans="17:23">
      <c r="Q1721" s="275">
        <f t="shared" si="68"/>
        <v>1.6569999999999283</v>
      </c>
      <c r="R1721" s="276">
        <v>1.75</v>
      </c>
      <c r="S1721" s="533"/>
      <c r="T1721"/>
      <c r="U1721"/>
      <c r="V1721"/>
      <c r="W1721"/>
    </row>
    <row r="1722" spans="17:23">
      <c r="Q1722" s="275">
        <f t="shared" si="68"/>
        <v>1.6579999999999282</v>
      </c>
      <c r="R1722" s="276">
        <v>1.75</v>
      </c>
      <c r="S1722" s="533"/>
      <c r="T1722"/>
      <c r="U1722"/>
      <c r="V1722"/>
      <c r="W1722"/>
    </row>
    <row r="1723" spans="17:23">
      <c r="Q1723" s="275">
        <f t="shared" si="68"/>
        <v>1.6589999999999281</v>
      </c>
      <c r="R1723" s="276">
        <v>1.75</v>
      </c>
      <c r="S1723" s="533"/>
      <c r="T1723"/>
      <c r="U1723"/>
      <c r="V1723"/>
      <c r="W1723"/>
    </row>
    <row r="1724" spans="17:23">
      <c r="Q1724" s="275">
        <f t="shared" si="68"/>
        <v>1.659999999999928</v>
      </c>
      <c r="R1724" s="276">
        <v>1.75</v>
      </c>
      <c r="S1724" s="533"/>
      <c r="T1724"/>
      <c r="U1724"/>
      <c r="V1724"/>
      <c r="W1724"/>
    </row>
    <row r="1725" spans="17:23">
      <c r="Q1725" s="275">
        <f t="shared" si="68"/>
        <v>1.6609999999999279</v>
      </c>
      <c r="R1725" s="276">
        <v>1.75</v>
      </c>
      <c r="S1725" s="533"/>
      <c r="T1725"/>
      <c r="U1725"/>
      <c r="V1725"/>
      <c r="W1725"/>
    </row>
    <row r="1726" spans="17:23">
      <c r="Q1726" s="275">
        <f t="shared" si="68"/>
        <v>1.6619999999999278</v>
      </c>
      <c r="R1726" s="276">
        <v>1.75</v>
      </c>
      <c r="S1726" s="533"/>
      <c r="T1726"/>
      <c r="U1726"/>
      <c r="V1726"/>
      <c r="W1726"/>
    </row>
    <row r="1727" spans="17:23">
      <c r="Q1727" s="275">
        <f t="shared" si="68"/>
        <v>1.6629999999999276</v>
      </c>
      <c r="R1727" s="276">
        <v>1.75</v>
      </c>
      <c r="S1727" s="533"/>
      <c r="T1727"/>
      <c r="U1727"/>
      <c r="V1727"/>
      <c r="W1727"/>
    </row>
    <row r="1728" spans="17:23">
      <c r="Q1728" s="275">
        <f t="shared" si="68"/>
        <v>1.6639999999999275</v>
      </c>
      <c r="R1728" s="276">
        <v>1.75</v>
      </c>
      <c r="S1728" s="533"/>
      <c r="T1728"/>
      <c r="U1728"/>
      <c r="V1728"/>
      <c r="W1728"/>
    </row>
    <row r="1729" spans="17:23">
      <c r="Q1729" s="275">
        <f t="shared" ref="Q1729:Q1792" si="69">Q1728+0.001</f>
        <v>1.6649999999999274</v>
      </c>
      <c r="R1729" s="276">
        <v>1.75</v>
      </c>
      <c r="S1729" s="533"/>
      <c r="T1729"/>
      <c r="U1729"/>
      <c r="V1729"/>
      <c r="W1729"/>
    </row>
    <row r="1730" spans="17:23">
      <c r="Q1730" s="275">
        <f t="shared" si="69"/>
        <v>1.6659999999999273</v>
      </c>
      <c r="R1730" s="276">
        <v>1.75</v>
      </c>
      <c r="S1730" s="533"/>
      <c r="T1730"/>
      <c r="U1730"/>
      <c r="V1730"/>
      <c r="W1730"/>
    </row>
    <row r="1731" spans="17:23">
      <c r="Q1731" s="275">
        <f t="shared" si="69"/>
        <v>1.6669999999999272</v>
      </c>
      <c r="R1731" s="276">
        <v>1.75</v>
      </c>
      <c r="S1731" s="533"/>
      <c r="T1731"/>
      <c r="U1731"/>
      <c r="V1731"/>
      <c r="W1731"/>
    </row>
    <row r="1732" spans="17:23">
      <c r="Q1732" s="275">
        <f t="shared" si="69"/>
        <v>1.6679999999999271</v>
      </c>
      <c r="R1732" s="276">
        <v>1.75</v>
      </c>
      <c r="S1732" s="533"/>
      <c r="T1732"/>
      <c r="U1732"/>
      <c r="V1732"/>
      <c r="W1732"/>
    </row>
    <row r="1733" spans="17:23">
      <c r="Q1733" s="275">
        <f t="shared" si="69"/>
        <v>1.668999999999927</v>
      </c>
      <c r="R1733" s="276">
        <v>1.75</v>
      </c>
      <c r="S1733" s="533"/>
      <c r="T1733"/>
      <c r="U1733"/>
      <c r="V1733"/>
      <c r="W1733"/>
    </row>
    <row r="1734" spans="17:23">
      <c r="Q1734" s="275">
        <f t="shared" si="69"/>
        <v>1.6699999999999269</v>
      </c>
      <c r="R1734" s="276">
        <v>1.75</v>
      </c>
      <c r="S1734" s="533"/>
      <c r="T1734"/>
      <c r="U1734"/>
      <c r="V1734"/>
      <c r="W1734"/>
    </row>
    <row r="1735" spans="17:23">
      <c r="Q1735" s="275">
        <f t="shared" si="69"/>
        <v>1.6709999999999268</v>
      </c>
      <c r="R1735" s="276">
        <v>1.75</v>
      </c>
      <c r="S1735" s="533"/>
      <c r="T1735"/>
      <c r="U1735"/>
      <c r="V1735"/>
      <c r="W1735"/>
    </row>
    <row r="1736" spans="17:23">
      <c r="Q1736" s="275">
        <f t="shared" si="69"/>
        <v>1.6719999999999267</v>
      </c>
      <c r="R1736" s="276">
        <v>1.75</v>
      </c>
      <c r="S1736" s="533"/>
      <c r="T1736"/>
      <c r="U1736"/>
      <c r="V1736"/>
      <c r="W1736"/>
    </row>
    <row r="1737" spans="17:23">
      <c r="Q1737" s="275">
        <f t="shared" si="69"/>
        <v>1.6729999999999265</v>
      </c>
      <c r="R1737" s="276">
        <v>1.75</v>
      </c>
      <c r="S1737" s="533"/>
      <c r="T1737"/>
      <c r="U1737"/>
      <c r="V1737"/>
      <c r="W1737"/>
    </row>
    <row r="1738" spans="17:23">
      <c r="Q1738" s="275">
        <f t="shared" si="69"/>
        <v>1.6739999999999264</v>
      </c>
      <c r="R1738" s="276">
        <v>1.75</v>
      </c>
      <c r="S1738" s="533"/>
      <c r="T1738"/>
      <c r="U1738"/>
      <c r="V1738"/>
      <c r="W1738"/>
    </row>
    <row r="1739" spans="17:23">
      <c r="Q1739" s="275">
        <f t="shared" si="69"/>
        <v>1.6749999999999263</v>
      </c>
      <c r="R1739" s="276">
        <v>1.75</v>
      </c>
      <c r="S1739" s="533"/>
      <c r="T1739"/>
      <c r="U1739"/>
      <c r="V1739"/>
      <c r="W1739"/>
    </row>
    <row r="1740" spans="17:23">
      <c r="Q1740" s="275">
        <f t="shared" si="69"/>
        <v>1.6759999999999262</v>
      </c>
      <c r="R1740" s="276">
        <v>1.75</v>
      </c>
      <c r="S1740" s="533"/>
      <c r="T1740"/>
      <c r="U1740"/>
      <c r="V1740"/>
      <c r="W1740"/>
    </row>
    <row r="1741" spans="17:23">
      <c r="Q1741" s="275">
        <f t="shared" si="69"/>
        <v>1.6769999999999261</v>
      </c>
      <c r="R1741" s="276">
        <v>1.75</v>
      </c>
      <c r="S1741" s="533"/>
      <c r="T1741"/>
      <c r="U1741"/>
      <c r="V1741"/>
      <c r="W1741"/>
    </row>
    <row r="1742" spans="17:23">
      <c r="Q1742" s="275">
        <f t="shared" si="69"/>
        <v>1.677999999999926</v>
      </c>
      <c r="R1742" s="276">
        <v>1.75</v>
      </c>
      <c r="S1742" s="533"/>
      <c r="T1742"/>
      <c r="U1742"/>
      <c r="V1742"/>
      <c r="W1742"/>
    </row>
    <row r="1743" spans="17:23">
      <c r="Q1743" s="275">
        <f t="shared" si="69"/>
        <v>1.6789999999999259</v>
      </c>
      <c r="R1743" s="276">
        <v>1.75</v>
      </c>
      <c r="S1743" s="533"/>
      <c r="T1743"/>
      <c r="U1743"/>
      <c r="V1743"/>
      <c r="W1743"/>
    </row>
    <row r="1744" spans="17:23">
      <c r="Q1744" s="275">
        <f t="shared" si="69"/>
        <v>1.6799999999999258</v>
      </c>
      <c r="R1744" s="276">
        <v>1.75</v>
      </c>
      <c r="S1744" s="533"/>
      <c r="T1744"/>
      <c r="U1744"/>
      <c r="V1744"/>
      <c r="W1744"/>
    </row>
    <row r="1745" spans="17:23">
      <c r="Q1745" s="275">
        <f t="shared" si="69"/>
        <v>1.6809999999999257</v>
      </c>
      <c r="R1745" s="276">
        <v>1.75</v>
      </c>
      <c r="S1745" s="533"/>
      <c r="T1745"/>
      <c r="U1745"/>
      <c r="V1745"/>
      <c r="W1745"/>
    </row>
    <row r="1746" spans="17:23">
      <c r="Q1746" s="275">
        <f t="shared" si="69"/>
        <v>1.6819999999999256</v>
      </c>
      <c r="R1746" s="276">
        <v>1.75</v>
      </c>
      <c r="S1746" s="533"/>
      <c r="T1746"/>
      <c r="U1746"/>
      <c r="V1746"/>
      <c r="W1746"/>
    </row>
    <row r="1747" spans="17:23">
      <c r="Q1747" s="275">
        <f t="shared" si="69"/>
        <v>1.6829999999999254</v>
      </c>
      <c r="R1747" s="276">
        <v>1.75</v>
      </c>
      <c r="S1747" s="533"/>
      <c r="T1747"/>
      <c r="U1747"/>
      <c r="V1747"/>
      <c r="W1747"/>
    </row>
    <row r="1748" spans="17:23">
      <c r="Q1748" s="275">
        <f t="shared" si="69"/>
        <v>1.6839999999999253</v>
      </c>
      <c r="R1748" s="276">
        <v>1.75</v>
      </c>
      <c r="S1748" s="533"/>
      <c r="T1748"/>
      <c r="U1748"/>
      <c r="V1748"/>
      <c r="W1748"/>
    </row>
    <row r="1749" spans="17:23">
      <c r="Q1749" s="275">
        <f t="shared" si="69"/>
        <v>1.6849999999999252</v>
      </c>
      <c r="R1749" s="276">
        <v>1.75</v>
      </c>
      <c r="S1749" s="533"/>
      <c r="T1749"/>
      <c r="U1749"/>
      <c r="V1749"/>
      <c r="W1749"/>
    </row>
    <row r="1750" spans="17:23">
      <c r="Q1750" s="275">
        <f t="shared" si="69"/>
        <v>1.6859999999999251</v>
      </c>
      <c r="R1750" s="276">
        <v>1.75</v>
      </c>
      <c r="S1750" s="533"/>
      <c r="T1750"/>
      <c r="U1750"/>
      <c r="V1750"/>
      <c r="W1750"/>
    </row>
    <row r="1751" spans="17:23">
      <c r="Q1751" s="275">
        <f t="shared" si="69"/>
        <v>1.686999999999925</v>
      </c>
      <c r="R1751" s="276">
        <v>1.75</v>
      </c>
      <c r="S1751" s="533"/>
      <c r="T1751"/>
      <c r="U1751"/>
      <c r="V1751"/>
      <c r="W1751"/>
    </row>
    <row r="1752" spans="17:23">
      <c r="Q1752" s="275">
        <f t="shared" si="69"/>
        <v>1.6879999999999249</v>
      </c>
      <c r="R1752" s="276">
        <v>1.75</v>
      </c>
      <c r="S1752" s="533"/>
      <c r="T1752"/>
      <c r="U1752"/>
      <c r="V1752"/>
      <c r="W1752"/>
    </row>
    <row r="1753" spans="17:23">
      <c r="Q1753" s="275">
        <f t="shared" si="69"/>
        <v>1.6889999999999248</v>
      </c>
      <c r="R1753" s="276">
        <v>1.75</v>
      </c>
      <c r="S1753" s="533"/>
      <c r="T1753"/>
      <c r="U1753"/>
      <c r="V1753"/>
      <c r="W1753"/>
    </row>
    <row r="1754" spans="17:23">
      <c r="Q1754" s="275">
        <f t="shared" si="69"/>
        <v>1.6899999999999247</v>
      </c>
      <c r="R1754" s="276">
        <v>1.75</v>
      </c>
      <c r="S1754" s="533"/>
      <c r="T1754"/>
      <c r="U1754"/>
      <c r="V1754"/>
      <c r="W1754"/>
    </row>
    <row r="1755" spans="17:23">
      <c r="Q1755" s="275">
        <f t="shared" si="69"/>
        <v>1.6909999999999246</v>
      </c>
      <c r="R1755" s="276">
        <v>1.75</v>
      </c>
      <c r="S1755" s="533"/>
      <c r="T1755"/>
      <c r="U1755"/>
      <c r="V1755"/>
      <c r="W1755"/>
    </row>
    <row r="1756" spans="17:23">
      <c r="Q1756" s="275">
        <f t="shared" si="69"/>
        <v>1.6919999999999245</v>
      </c>
      <c r="R1756" s="276">
        <v>1.75</v>
      </c>
      <c r="S1756" s="533"/>
      <c r="T1756"/>
      <c r="U1756"/>
      <c r="V1756"/>
      <c r="W1756"/>
    </row>
    <row r="1757" spans="17:23">
      <c r="Q1757" s="275">
        <f t="shared" si="69"/>
        <v>1.6929999999999243</v>
      </c>
      <c r="R1757" s="276">
        <v>1.75</v>
      </c>
      <c r="S1757" s="533"/>
      <c r="T1757"/>
      <c r="U1757"/>
      <c r="V1757"/>
      <c r="W1757"/>
    </row>
    <row r="1758" spans="17:23">
      <c r="Q1758" s="275">
        <f t="shared" si="69"/>
        <v>1.6939999999999242</v>
      </c>
      <c r="R1758" s="276">
        <v>1.75</v>
      </c>
      <c r="S1758" s="533"/>
      <c r="T1758"/>
      <c r="U1758"/>
      <c r="V1758"/>
      <c r="W1758"/>
    </row>
    <row r="1759" spans="17:23">
      <c r="Q1759" s="275">
        <f t="shared" si="69"/>
        <v>1.6949999999999241</v>
      </c>
      <c r="R1759" s="276">
        <v>1.75</v>
      </c>
      <c r="S1759" s="533"/>
      <c r="T1759"/>
      <c r="U1759"/>
      <c r="V1759"/>
      <c r="W1759"/>
    </row>
    <row r="1760" spans="17:23">
      <c r="Q1760" s="275">
        <f t="shared" si="69"/>
        <v>1.695999999999924</v>
      </c>
      <c r="R1760" s="276">
        <v>1.75</v>
      </c>
      <c r="S1760" s="533"/>
      <c r="T1760"/>
      <c r="U1760"/>
      <c r="V1760"/>
      <c r="W1760"/>
    </row>
    <row r="1761" spans="17:23">
      <c r="Q1761" s="275">
        <f t="shared" si="69"/>
        <v>1.6969999999999239</v>
      </c>
      <c r="R1761" s="276">
        <v>1.75</v>
      </c>
      <c r="S1761" s="533"/>
      <c r="T1761"/>
      <c r="U1761"/>
      <c r="V1761"/>
      <c r="W1761"/>
    </row>
    <row r="1762" spans="17:23">
      <c r="Q1762" s="275">
        <f t="shared" si="69"/>
        <v>1.6979999999999238</v>
      </c>
      <c r="R1762" s="276">
        <v>1.75</v>
      </c>
      <c r="S1762" s="533"/>
      <c r="T1762"/>
      <c r="U1762"/>
      <c r="V1762"/>
      <c r="W1762"/>
    </row>
    <row r="1763" spans="17:23">
      <c r="Q1763" s="275">
        <f t="shared" si="69"/>
        <v>1.6989999999999237</v>
      </c>
      <c r="R1763" s="276">
        <v>1.75</v>
      </c>
      <c r="S1763" s="533"/>
      <c r="T1763"/>
      <c r="U1763"/>
      <c r="V1763"/>
      <c r="W1763"/>
    </row>
    <row r="1764" spans="17:23">
      <c r="Q1764" s="275">
        <f t="shared" si="69"/>
        <v>1.6999999999999236</v>
      </c>
      <c r="R1764" s="276">
        <v>1.75</v>
      </c>
      <c r="S1764" s="533"/>
      <c r="T1764"/>
      <c r="U1764"/>
      <c r="V1764"/>
      <c r="W1764"/>
    </row>
    <row r="1765" spans="17:23">
      <c r="Q1765" s="275">
        <f t="shared" si="69"/>
        <v>1.7009999999999235</v>
      </c>
      <c r="R1765" s="276">
        <v>1.75</v>
      </c>
      <c r="S1765" s="533"/>
      <c r="T1765"/>
      <c r="U1765"/>
      <c r="V1765"/>
      <c r="W1765"/>
    </row>
    <row r="1766" spans="17:23">
      <c r="Q1766" s="275">
        <f t="shared" si="69"/>
        <v>1.7019999999999234</v>
      </c>
      <c r="R1766" s="276">
        <v>1.75</v>
      </c>
      <c r="S1766" s="533"/>
      <c r="T1766"/>
      <c r="U1766"/>
      <c r="V1766"/>
      <c r="W1766"/>
    </row>
    <row r="1767" spans="17:23">
      <c r="Q1767" s="275">
        <f t="shared" si="69"/>
        <v>1.7029999999999232</v>
      </c>
      <c r="R1767" s="276">
        <v>1.75</v>
      </c>
      <c r="S1767" s="533"/>
      <c r="T1767"/>
      <c r="U1767"/>
      <c r="V1767"/>
      <c r="W1767"/>
    </row>
    <row r="1768" spans="17:23">
      <c r="Q1768" s="275">
        <f t="shared" si="69"/>
        <v>1.7039999999999231</v>
      </c>
      <c r="R1768" s="276">
        <v>1.75</v>
      </c>
      <c r="S1768" s="533"/>
      <c r="T1768"/>
      <c r="U1768"/>
      <c r="V1768"/>
      <c r="W1768"/>
    </row>
    <row r="1769" spans="17:23">
      <c r="Q1769" s="275">
        <f t="shared" si="69"/>
        <v>1.704999999999923</v>
      </c>
      <c r="R1769" s="276">
        <v>1.75</v>
      </c>
      <c r="S1769" s="533"/>
      <c r="T1769"/>
      <c r="U1769"/>
      <c r="V1769"/>
      <c r="W1769"/>
    </row>
    <row r="1770" spans="17:23">
      <c r="Q1770" s="275">
        <f t="shared" si="69"/>
        <v>1.7059999999999229</v>
      </c>
      <c r="R1770" s="276">
        <v>1.75</v>
      </c>
      <c r="S1770" s="533"/>
      <c r="T1770"/>
      <c r="U1770"/>
      <c r="V1770"/>
      <c r="W1770"/>
    </row>
    <row r="1771" spans="17:23">
      <c r="Q1771" s="275">
        <f t="shared" si="69"/>
        <v>1.7069999999999228</v>
      </c>
      <c r="R1771" s="276">
        <v>1.75</v>
      </c>
      <c r="S1771" s="533"/>
      <c r="T1771"/>
      <c r="U1771"/>
      <c r="V1771"/>
      <c r="W1771"/>
    </row>
    <row r="1772" spans="17:23">
      <c r="Q1772" s="275">
        <f t="shared" si="69"/>
        <v>1.7079999999999227</v>
      </c>
      <c r="R1772" s="276">
        <v>1.75</v>
      </c>
      <c r="S1772" s="533"/>
      <c r="T1772"/>
      <c r="U1772"/>
      <c r="V1772"/>
      <c r="W1772"/>
    </row>
    <row r="1773" spans="17:23">
      <c r="Q1773" s="275">
        <f t="shared" si="69"/>
        <v>1.7089999999999226</v>
      </c>
      <c r="R1773" s="276">
        <v>1.75</v>
      </c>
      <c r="S1773" s="533"/>
      <c r="T1773"/>
      <c r="U1773"/>
      <c r="V1773"/>
      <c r="W1773"/>
    </row>
    <row r="1774" spans="17:23">
      <c r="Q1774" s="275">
        <f t="shared" si="69"/>
        <v>1.7099999999999225</v>
      </c>
      <c r="R1774" s="276">
        <v>1.75</v>
      </c>
      <c r="S1774" s="533"/>
      <c r="T1774"/>
      <c r="U1774"/>
      <c r="V1774"/>
      <c r="W1774"/>
    </row>
    <row r="1775" spans="17:23">
      <c r="Q1775" s="275">
        <f t="shared" si="69"/>
        <v>1.7109999999999224</v>
      </c>
      <c r="R1775" s="276">
        <v>1.75</v>
      </c>
      <c r="S1775" s="533"/>
      <c r="T1775"/>
      <c r="U1775"/>
      <c r="V1775"/>
      <c r="W1775"/>
    </row>
    <row r="1776" spans="17:23">
      <c r="Q1776" s="275">
        <f t="shared" si="69"/>
        <v>1.7119999999999223</v>
      </c>
      <c r="R1776" s="276">
        <v>1.75</v>
      </c>
      <c r="S1776" s="533"/>
      <c r="T1776"/>
      <c r="U1776"/>
      <c r="V1776"/>
      <c r="W1776"/>
    </row>
    <row r="1777" spans="17:23">
      <c r="Q1777" s="275">
        <f t="shared" si="69"/>
        <v>1.7129999999999221</v>
      </c>
      <c r="R1777" s="276">
        <v>1.75</v>
      </c>
      <c r="S1777" s="533"/>
      <c r="T1777"/>
      <c r="U1777"/>
      <c r="V1777"/>
      <c r="W1777"/>
    </row>
    <row r="1778" spans="17:23">
      <c r="Q1778" s="275">
        <f t="shared" si="69"/>
        <v>1.713999999999922</v>
      </c>
      <c r="R1778" s="276">
        <v>1.75</v>
      </c>
      <c r="S1778" s="533"/>
      <c r="T1778"/>
      <c r="U1778"/>
      <c r="V1778"/>
      <c r="W1778"/>
    </row>
    <row r="1779" spans="17:23">
      <c r="Q1779" s="275">
        <f t="shared" si="69"/>
        <v>1.7149999999999219</v>
      </c>
      <c r="R1779" s="276">
        <v>1.75</v>
      </c>
      <c r="S1779" s="533"/>
      <c r="T1779"/>
      <c r="U1779"/>
      <c r="V1779"/>
      <c r="W1779"/>
    </row>
    <row r="1780" spans="17:23">
      <c r="Q1780" s="275">
        <f t="shared" si="69"/>
        <v>1.7159999999999218</v>
      </c>
      <c r="R1780" s="276">
        <v>1.75</v>
      </c>
      <c r="S1780" s="533"/>
      <c r="T1780"/>
      <c r="U1780"/>
      <c r="V1780"/>
      <c r="W1780"/>
    </row>
    <row r="1781" spans="17:23">
      <c r="Q1781" s="275">
        <f t="shared" si="69"/>
        <v>1.7169999999999217</v>
      </c>
      <c r="R1781" s="276">
        <v>1.75</v>
      </c>
      <c r="S1781" s="533"/>
      <c r="T1781"/>
      <c r="U1781"/>
      <c r="V1781"/>
      <c r="W1781"/>
    </row>
    <row r="1782" spans="17:23">
      <c r="Q1782" s="275">
        <f t="shared" si="69"/>
        <v>1.7179999999999216</v>
      </c>
      <c r="R1782" s="276">
        <v>1.75</v>
      </c>
      <c r="S1782" s="533"/>
      <c r="T1782"/>
      <c r="U1782"/>
      <c r="V1782"/>
      <c r="W1782"/>
    </row>
    <row r="1783" spans="17:23">
      <c r="Q1783" s="275">
        <f t="shared" si="69"/>
        <v>1.7189999999999215</v>
      </c>
      <c r="R1783" s="276">
        <v>1.75</v>
      </c>
      <c r="S1783" s="533"/>
      <c r="T1783"/>
      <c r="U1783"/>
      <c r="V1783"/>
      <c r="W1783"/>
    </row>
    <row r="1784" spans="17:23">
      <c r="Q1784" s="275">
        <f t="shared" si="69"/>
        <v>1.7199999999999214</v>
      </c>
      <c r="R1784" s="276">
        <v>1.75</v>
      </c>
      <c r="S1784" s="533"/>
      <c r="T1784"/>
      <c r="U1784"/>
      <c r="V1784"/>
      <c r="W1784"/>
    </row>
    <row r="1785" spans="17:23">
      <c r="Q1785" s="275">
        <f t="shared" si="69"/>
        <v>1.7209999999999213</v>
      </c>
      <c r="R1785" s="276">
        <v>1.75</v>
      </c>
      <c r="S1785" s="533"/>
      <c r="T1785"/>
      <c r="U1785"/>
      <c r="V1785"/>
      <c r="W1785"/>
    </row>
    <row r="1786" spans="17:23">
      <c r="Q1786" s="275">
        <f t="shared" si="69"/>
        <v>1.7219999999999211</v>
      </c>
      <c r="R1786" s="276">
        <v>1.75</v>
      </c>
      <c r="S1786" s="533"/>
      <c r="T1786"/>
      <c r="U1786"/>
      <c r="V1786"/>
      <c r="W1786"/>
    </row>
    <row r="1787" spans="17:23">
      <c r="Q1787" s="275">
        <f t="shared" si="69"/>
        <v>1.722999999999921</v>
      </c>
      <c r="R1787" s="276">
        <v>1.75</v>
      </c>
      <c r="S1787" s="533"/>
      <c r="T1787"/>
      <c r="U1787"/>
      <c r="V1787"/>
      <c r="W1787"/>
    </row>
    <row r="1788" spans="17:23">
      <c r="Q1788" s="275">
        <f t="shared" si="69"/>
        <v>1.7239999999999209</v>
      </c>
      <c r="R1788" s="276">
        <v>2</v>
      </c>
      <c r="S1788" s="533"/>
      <c r="T1788"/>
      <c r="U1788"/>
      <c r="V1788"/>
      <c r="W1788"/>
    </row>
    <row r="1789" spans="17:23">
      <c r="Q1789" s="275">
        <f t="shared" si="69"/>
        <v>1.7249999999999208</v>
      </c>
      <c r="R1789" s="276">
        <v>2</v>
      </c>
      <c r="S1789" s="533"/>
      <c r="T1789"/>
      <c r="U1789"/>
      <c r="V1789"/>
      <c r="W1789"/>
    </row>
    <row r="1790" spans="17:23">
      <c r="Q1790" s="275">
        <f t="shared" si="69"/>
        <v>1.7259999999999207</v>
      </c>
      <c r="R1790" s="276">
        <v>2</v>
      </c>
      <c r="S1790" s="533"/>
      <c r="T1790"/>
      <c r="U1790"/>
      <c r="V1790"/>
      <c r="W1790"/>
    </row>
    <row r="1791" spans="17:23">
      <c r="Q1791" s="275">
        <f t="shared" si="69"/>
        <v>1.7269999999999206</v>
      </c>
      <c r="R1791" s="276">
        <v>2</v>
      </c>
      <c r="S1791" s="533"/>
      <c r="T1791"/>
      <c r="U1791"/>
      <c r="V1791"/>
      <c r="W1791"/>
    </row>
    <row r="1792" spans="17:23">
      <c r="Q1792" s="275">
        <f t="shared" si="69"/>
        <v>1.7279999999999205</v>
      </c>
      <c r="R1792" s="276">
        <v>2</v>
      </c>
      <c r="S1792" s="533"/>
      <c r="T1792"/>
      <c r="U1792"/>
      <c r="V1792"/>
      <c r="W1792"/>
    </row>
    <row r="1793" spans="17:23">
      <c r="Q1793" s="275">
        <f t="shared" ref="Q1793:Q1856" si="70">Q1792+0.001</f>
        <v>1.7289999999999204</v>
      </c>
      <c r="R1793" s="276">
        <v>2</v>
      </c>
      <c r="S1793" s="533"/>
      <c r="T1793"/>
      <c r="U1793"/>
      <c r="V1793"/>
      <c r="W1793"/>
    </row>
    <row r="1794" spans="17:23">
      <c r="Q1794" s="275">
        <f t="shared" si="70"/>
        <v>1.7299999999999203</v>
      </c>
      <c r="R1794" s="276">
        <v>2</v>
      </c>
      <c r="S1794" s="533"/>
      <c r="T1794"/>
      <c r="U1794"/>
      <c r="V1794"/>
      <c r="W1794"/>
    </row>
    <row r="1795" spans="17:23">
      <c r="Q1795" s="275">
        <f t="shared" si="70"/>
        <v>1.7309999999999202</v>
      </c>
      <c r="R1795" s="276">
        <v>2</v>
      </c>
      <c r="S1795" s="533"/>
      <c r="T1795"/>
      <c r="U1795"/>
      <c r="V1795"/>
      <c r="W1795"/>
    </row>
    <row r="1796" spans="17:23">
      <c r="Q1796" s="275">
        <f t="shared" si="70"/>
        <v>1.73199999999992</v>
      </c>
      <c r="R1796" s="276">
        <v>2</v>
      </c>
      <c r="S1796" s="533"/>
      <c r="T1796"/>
      <c r="U1796"/>
      <c r="V1796"/>
      <c r="W1796"/>
    </row>
    <row r="1797" spans="17:23">
      <c r="Q1797" s="275">
        <f t="shared" si="70"/>
        <v>1.7329999999999199</v>
      </c>
      <c r="R1797" s="276">
        <v>2</v>
      </c>
      <c r="S1797" s="533"/>
      <c r="T1797"/>
      <c r="U1797"/>
      <c r="V1797"/>
      <c r="W1797"/>
    </row>
    <row r="1798" spans="17:23">
      <c r="Q1798" s="275">
        <f t="shared" si="70"/>
        <v>1.7339999999999198</v>
      </c>
      <c r="R1798" s="276">
        <v>2</v>
      </c>
      <c r="S1798" s="533"/>
      <c r="T1798"/>
      <c r="U1798"/>
      <c r="V1798"/>
      <c r="W1798"/>
    </row>
    <row r="1799" spans="17:23">
      <c r="Q1799" s="275">
        <f t="shared" si="70"/>
        <v>1.7349999999999197</v>
      </c>
      <c r="R1799" s="276">
        <v>2</v>
      </c>
      <c r="S1799" s="533"/>
      <c r="T1799"/>
      <c r="U1799"/>
      <c r="V1799"/>
      <c r="W1799"/>
    </row>
    <row r="1800" spans="17:23">
      <c r="Q1800" s="275">
        <f t="shared" si="70"/>
        <v>1.7359999999999196</v>
      </c>
      <c r="R1800" s="276">
        <v>2</v>
      </c>
      <c r="S1800" s="533"/>
      <c r="T1800"/>
      <c r="U1800"/>
      <c r="V1800"/>
      <c r="W1800"/>
    </row>
    <row r="1801" spans="17:23">
      <c r="Q1801" s="275">
        <f t="shared" si="70"/>
        <v>1.7369999999999195</v>
      </c>
      <c r="R1801" s="276">
        <v>2</v>
      </c>
      <c r="S1801" s="533"/>
      <c r="T1801"/>
      <c r="U1801"/>
      <c r="V1801"/>
      <c r="W1801"/>
    </row>
    <row r="1802" spans="17:23">
      <c r="Q1802" s="275">
        <f t="shared" si="70"/>
        <v>1.7379999999999194</v>
      </c>
      <c r="R1802" s="276">
        <v>2</v>
      </c>
      <c r="S1802" s="533"/>
      <c r="T1802"/>
      <c r="U1802"/>
      <c r="V1802"/>
      <c r="W1802"/>
    </row>
    <row r="1803" spans="17:23">
      <c r="Q1803" s="275">
        <f t="shared" si="70"/>
        <v>1.7389999999999193</v>
      </c>
      <c r="R1803" s="276">
        <v>2</v>
      </c>
      <c r="S1803" s="533"/>
      <c r="T1803"/>
      <c r="U1803"/>
      <c r="V1803"/>
      <c r="W1803"/>
    </row>
    <row r="1804" spans="17:23">
      <c r="Q1804" s="275">
        <f t="shared" si="70"/>
        <v>1.7399999999999192</v>
      </c>
      <c r="R1804" s="276">
        <v>2</v>
      </c>
      <c r="S1804" s="533"/>
      <c r="T1804"/>
      <c r="U1804"/>
      <c r="V1804"/>
      <c r="W1804"/>
    </row>
    <row r="1805" spans="17:23">
      <c r="Q1805" s="275">
        <f t="shared" si="70"/>
        <v>1.7409999999999191</v>
      </c>
      <c r="R1805" s="276">
        <v>2</v>
      </c>
      <c r="S1805" s="533"/>
      <c r="T1805"/>
      <c r="U1805"/>
      <c r="V1805"/>
      <c r="W1805"/>
    </row>
    <row r="1806" spans="17:23">
      <c r="Q1806" s="275">
        <f t="shared" si="70"/>
        <v>1.7419999999999189</v>
      </c>
      <c r="R1806" s="276">
        <v>2</v>
      </c>
      <c r="S1806" s="533"/>
      <c r="T1806"/>
      <c r="U1806"/>
      <c r="V1806"/>
      <c r="W1806"/>
    </row>
    <row r="1807" spans="17:23">
      <c r="Q1807" s="275">
        <f t="shared" si="70"/>
        <v>1.7429999999999188</v>
      </c>
      <c r="R1807" s="276">
        <v>2</v>
      </c>
      <c r="S1807" s="533"/>
      <c r="T1807"/>
      <c r="U1807"/>
      <c r="V1807"/>
      <c r="W1807"/>
    </row>
    <row r="1808" spans="17:23">
      <c r="Q1808" s="275">
        <f t="shared" si="70"/>
        <v>1.7439999999999187</v>
      </c>
      <c r="R1808" s="276">
        <v>2</v>
      </c>
      <c r="S1808" s="533"/>
      <c r="T1808"/>
      <c r="U1808"/>
      <c r="V1808"/>
      <c r="W1808"/>
    </row>
    <row r="1809" spans="17:23">
      <c r="Q1809" s="275">
        <f t="shared" si="70"/>
        <v>1.7449999999999186</v>
      </c>
      <c r="R1809" s="276">
        <v>2</v>
      </c>
      <c r="S1809" s="533"/>
      <c r="T1809"/>
      <c r="U1809"/>
      <c r="V1809"/>
      <c r="W1809"/>
    </row>
    <row r="1810" spans="17:23">
      <c r="Q1810" s="275">
        <f t="shared" si="70"/>
        <v>1.7459999999999185</v>
      </c>
      <c r="R1810" s="276">
        <v>2</v>
      </c>
      <c r="S1810" s="533"/>
      <c r="T1810"/>
      <c r="U1810"/>
      <c r="V1810"/>
      <c r="W1810"/>
    </row>
    <row r="1811" spans="17:23">
      <c r="Q1811" s="275">
        <f t="shared" si="70"/>
        <v>1.7469999999999184</v>
      </c>
      <c r="R1811" s="276">
        <v>2</v>
      </c>
      <c r="S1811" s="533"/>
      <c r="T1811"/>
      <c r="U1811"/>
      <c r="V1811"/>
      <c r="W1811"/>
    </row>
    <row r="1812" spans="17:23">
      <c r="Q1812" s="275">
        <f t="shared" si="70"/>
        <v>1.7479999999999183</v>
      </c>
      <c r="R1812" s="276">
        <v>2</v>
      </c>
      <c r="S1812" s="533"/>
      <c r="T1812"/>
      <c r="U1812"/>
      <c r="V1812"/>
      <c r="W1812"/>
    </row>
    <row r="1813" spans="17:23">
      <c r="Q1813" s="275">
        <f t="shared" si="70"/>
        <v>1.7489999999999182</v>
      </c>
      <c r="R1813" s="276">
        <v>2</v>
      </c>
      <c r="S1813" s="533"/>
      <c r="T1813"/>
      <c r="U1813"/>
      <c r="V1813"/>
      <c r="W1813"/>
    </row>
    <row r="1814" spans="17:23">
      <c r="Q1814" s="275">
        <f t="shared" si="70"/>
        <v>1.7499999999999181</v>
      </c>
      <c r="R1814" s="276">
        <v>2</v>
      </c>
      <c r="S1814" s="533"/>
      <c r="T1814"/>
      <c r="U1814"/>
      <c r="V1814"/>
      <c r="W1814"/>
    </row>
    <row r="1815" spans="17:23">
      <c r="Q1815" s="275">
        <f t="shared" si="70"/>
        <v>1.750999999999918</v>
      </c>
      <c r="R1815" s="276">
        <v>2</v>
      </c>
      <c r="S1815" s="533"/>
      <c r="T1815"/>
      <c r="U1815"/>
      <c r="V1815"/>
      <c r="W1815"/>
    </row>
    <row r="1816" spans="17:23">
      <c r="Q1816" s="275">
        <f t="shared" si="70"/>
        <v>1.7519999999999178</v>
      </c>
      <c r="R1816" s="276">
        <v>2</v>
      </c>
      <c r="S1816" s="533"/>
      <c r="T1816"/>
      <c r="U1816"/>
      <c r="V1816"/>
      <c r="W1816"/>
    </row>
    <row r="1817" spans="17:23">
      <c r="Q1817" s="275">
        <f t="shared" si="70"/>
        <v>1.7529999999999177</v>
      </c>
      <c r="R1817" s="276">
        <v>2</v>
      </c>
      <c r="S1817" s="533"/>
      <c r="T1817"/>
      <c r="U1817"/>
      <c r="V1817"/>
      <c r="W1817"/>
    </row>
    <row r="1818" spans="17:23">
      <c r="Q1818" s="275">
        <f t="shared" si="70"/>
        <v>1.7539999999999176</v>
      </c>
      <c r="R1818" s="276">
        <v>2</v>
      </c>
      <c r="S1818" s="533"/>
      <c r="T1818"/>
      <c r="U1818"/>
      <c r="V1818"/>
      <c r="W1818"/>
    </row>
    <row r="1819" spans="17:23">
      <c r="Q1819" s="275">
        <f t="shared" si="70"/>
        <v>1.7549999999999175</v>
      </c>
      <c r="R1819" s="276">
        <v>2</v>
      </c>
      <c r="S1819" s="533"/>
      <c r="T1819"/>
      <c r="U1819"/>
      <c r="V1819"/>
      <c r="W1819"/>
    </row>
    <row r="1820" spans="17:23">
      <c r="Q1820" s="275">
        <f t="shared" si="70"/>
        <v>1.7559999999999174</v>
      </c>
      <c r="R1820" s="276">
        <v>2</v>
      </c>
      <c r="S1820" s="533"/>
      <c r="T1820"/>
      <c r="U1820"/>
      <c r="V1820"/>
      <c r="W1820"/>
    </row>
    <row r="1821" spans="17:23">
      <c r="Q1821" s="275">
        <f t="shared" si="70"/>
        <v>1.7569999999999173</v>
      </c>
      <c r="R1821" s="276">
        <v>2</v>
      </c>
      <c r="S1821" s="533"/>
      <c r="T1821"/>
      <c r="U1821"/>
      <c r="V1821"/>
      <c r="W1821"/>
    </row>
    <row r="1822" spans="17:23">
      <c r="Q1822" s="275">
        <f t="shared" si="70"/>
        <v>1.7579999999999172</v>
      </c>
      <c r="R1822" s="276">
        <v>2</v>
      </c>
      <c r="S1822" s="533"/>
      <c r="T1822"/>
      <c r="U1822"/>
      <c r="V1822"/>
      <c r="W1822"/>
    </row>
    <row r="1823" spans="17:23">
      <c r="Q1823" s="275">
        <f t="shared" si="70"/>
        <v>1.7589999999999171</v>
      </c>
      <c r="R1823" s="276">
        <v>2</v>
      </c>
      <c r="S1823" s="533"/>
      <c r="T1823"/>
      <c r="U1823"/>
      <c r="V1823"/>
      <c r="W1823"/>
    </row>
    <row r="1824" spans="17:23">
      <c r="Q1824" s="275">
        <f t="shared" si="70"/>
        <v>1.759999999999917</v>
      </c>
      <c r="R1824" s="276">
        <v>2</v>
      </c>
      <c r="S1824" s="533"/>
      <c r="T1824"/>
      <c r="U1824"/>
      <c r="V1824"/>
      <c r="W1824"/>
    </row>
    <row r="1825" spans="17:23">
      <c r="Q1825" s="275">
        <f t="shared" si="70"/>
        <v>1.7609999999999169</v>
      </c>
      <c r="R1825" s="276">
        <v>2</v>
      </c>
      <c r="S1825" s="533"/>
      <c r="T1825"/>
      <c r="U1825"/>
      <c r="V1825"/>
      <c r="W1825"/>
    </row>
    <row r="1826" spans="17:23">
      <c r="Q1826" s="275">
        <f t="shared" si="70"/>
        <v>1.7619999999999167</v>
      </c>
      <c r="R1826" s="276">
        <v>2</v>
      </c>
      <c r="S1826" s="533"/>
      <c r="T1826"/>
      <c r="U1826"/>
      <c r="V1826"/>
      <c r="W1826"/>
    </row>
    <row r="1827" spans="17:23">
      <c r="Q1827" s="275">
        <f t="shared" si="70"/>
        <v>1.7629999999999166</v>
      </c>
      <c r="R1827" s="276">
        <v>2</v>
      </c>
      <c r="S1827" s="533"/>
      <c r="T1827"/>
      <c r="U1827"/>
      <c r="V1827"/>
      <c r="W1827"/>
    </row>
    <row r="1828" spans="17:23">
      <c r="Q1828" s="275">
        <f t="shared" si="70"/>
        <v>1.7639999999999165</v>
      </c>
      <c r="R1828" s="276">
        <v>2</v>
      </c>
      <c r="S1828" s="533"/>
      <c r="T1828"/>
      <c r="U1828"/>
      <c r="V1828"/>
      <c r="W1828"/>
    </row>
    <row r="1829" spans="17:23">
      <c r="Q1829" s="275">
        <f t="shared" si="70"/>
        <v>1.7649999999999164</v>
      </c>
      <c r="R1829" s="276">
        <v>2</v>
      </c>
      <c r="S1829" s="533"/>
      <c r="T1829"/>
      <c r="U1829"/>
      <c r="V1829"/>
      <c r="W1829"/>
    </row>
    <row r="1830" spans="17:23">
      <c r="Q1830" s="275">
        <f t="shared" si="70"/>
        <v>1.7659999999999163</v>
      </c>
      <c r="R1830" s="276">
        <v>2</v>
      </c>
      <c r="S1830" s="533"/>
      <c r="T1830"/>
      <c r="U1830"/>
      <c r="V1830"/>
      <c r="W1830"/>
    </row>
    <row r="1831" spans="17:23">
      <c r="Q1831" s="275">
        <f t="shared" si="70"/>
        <v>1.7669999999999162</v>
      </c>
      <c r="R1831" s="276">
        <v>2</v>
      </c>
      <c r="S1831" s="533"/>
      <c r="T1831"/>
      <c r="U1831"/>
      <c r="V1831"/>
      <c r="W1831"/>
    </row>
    <row r="1832" spans="17:23">
      <c r="Q1832" s="275">
        <f t="shared" si="70"/>
        <v>1.7679999999999161</v>
      </c>
      <c r="R1832" s="276">
        <v>2</v>
      </c>
      <c r="S1832" s="533"/>
      <c r="T1832"/>
      <c r="U1832"/>
      <c r="V1832"/>
      <c r="W1832"/>
    </row>
    <row r="1833" spans="17:23">
      <c r="Q1833" s="275">
        <f t="shared" si="70"/>
        <v>1.768999999999916</v>
      </c>
      <c r="R1833" s="276">
        <v>2</v>
      </c>
      <c r="S1833" s="533"/>
      <c r="T1833"/>
      <c r="U1833"/>
      <c r="V1833"/>
      <c r="W1833"/>
    </row>
    <row r="1834" spans="17:23">
      <c r="Q1834" s="275">
        <f t="shared" si="70"/>
        <v>1.7699999999999159</v>
      </c>
      <c r="R1834" s="276">
        <v>2</v>
      </c>
      <c r="S1834" s="533"/>
      <c r="T1834"/>
      <c r="U1834"/>
      <c r="V1834"/>
      <c r="W1834"/>
    </row>
    <row r="1835" spans="17:23">
      <c r="Q1835" s="275">
        <f t="shared" si="70"/>
        <v>1.7709999999999158</v>
      </c>
      <c r="R1835" s="276">
        <v>2</v>
      </c>
      <c r="S1835" s="533"/>
      <c r="T1835"/>
      <c r="U1835"/>
      <c r="V1835"/>
      <c r="W1835"/>
    </row>
    <row r="1836" spans="17:23">
      <c r="Q1836" s="275">
        <f t="shared" si="70"/>
        <v>1.7719999999999156</v>
      </c>
      <c r="R1836" s="276">
        <v>2</v>
      </c>
      <c r="S1836" s="533"/>
      <c r="T1836"/>
      <c r="U1836"/>
      <c r="V1836"/>
      <c r="W1836"/>
    </row>
    <row r="1837" spans="17:23">
      <c r="Q1837" s="275">
        <f t="shared" si="70"/>
        <v>1.7729999999999155</v>
      </c>
      <c r="R1837" s="276">
        <v>2</v>
      </c>
      <c r="S1837" s="533"/>
      <c r="T1837"/>
      <c r="U1837"/>
      <c r="V1837"/>
      <c r="W1837"/>
    </row>
    <row r="1838" spans="17:23">
      <c r="Q1838" s="275">
        <f t="shared" si="70"/>
        <v>1.7739999999999154</v>
      </c>
      <c r="R1838" s="276">
        <v>2</v>
      </c>
      <c r="S1838" s="533"/>
      <c r="T1838"/>
      <c r="U1838"/>
      <c r="V1838"/>
      <c r="W1838"/>
    </row>
    <row r="1839" spans="17:23">
      <c r="Q1839" s="275">
        <f t="shared" si="70"/>
        <v>1.7749999999999153</v>
      </c>
      <c r="R1839" s="276">
        <v>2</v>
      </c>
      <c r="S1839" s="533"/>
      <c r="T1839"/>
      <c r="U1839"/>
      <c r="V1839"/>
      <c r="W1839"/>
    </row>
    <row r="1840" spans="17:23">
      <c r="Q1840" s="275">
        <f t="shared" si="70"/>
        <v>1.7759999999999152</v>
      </c>
      <c r="R1840" s="276">
        <v>2</v>
      </c>
      <c r="S1840" s="533"/>
      <c r="T1840"/>
      <c r="U1840"/>
      <c r="V1840"/>
      <c r="W1840"/>
    </row>
    <row r="1841" spans="17:23">
      <c r="Q1841" s="275">
        <f t="shared" si="70"/>
        <v>1.7769999999999151</v>
      </c>
      <c r="R1841" s="276">
        <v>2</v>
      </c>
      <c r="S1841" s="533"/>
      <c r="T1841"/>
      <c r="U1841"/>
      <c r="V1841"/>
      <c r="W1841"/>
    </row>
    <row r="1842" spans="17:23">
      <c r="Q1842" s="275">
        <f t="shared" si="70"/>
        <v>1.777999999999915</v>
      </c>
      <c r="R1842" s="276">
        <v>2</v>
      </c>
      <c r="S1842" s="533"/>
      <c r="T1842"/>
      <c r="U1842"/>
      <c r="V1842"/>
      <c r="W1842"/>
    </row>
    <row r="1843" spans="17:23">
      <c r="Q1843" s="275">
        <f t="shared" si="70"/>
        <v>1.7789999999999149</v>
      </c>
      <c r="R1843" s="276">
        <v>2</v>
      </c>
      <c r="S1843" s="533"/>
      <c r="T1843"/>
      <c r="U1843"/>
      <c r="V1843"/>
      <c r="W1843"/>
    </row>
    <row r="1844" spans="17:23">
      <c r="Q1844" s="275">
        <f t="shared" si="70"/>
        <v>1.7799999999999148</v>
      </c>
      <c r="R1844" s="276">
        <v>2</v>
      </c>
      <c r="S1844" s="533"/>
      <c r="T1844"/>
      <c r="U1844"/>
      <c r="V1844"/>
      <c r="W1844"/>
    </row>
    <row r="1845" spans="17:23">
      <c r="Q1845" s="275">
        <f t="shared" si="70"/>
        <v>1.7809999999999147</v>
      </c>
      <c r="R1845" s="276">
        <v>2</v>
      </c>
      <c r="S1845" s="533"/>
      <c r="T1845"/>
      <c r="U1845"/>
      <c r="V1845"/>
      <c r="W1845"/>
    </row>
    <row r="1846" spans="17:23">
      <c r="Q1846" s="275">
        <f t="shared" si="70"/>
        <v>1.7819999999999145</v>
      </c>
      <c r="R1846" s="276">
        <v>2</v>
      </c>
      <c r="S1846" s="533"/>
      <c r="T1846"/>
      <c r="U1846"/>
      <c r="V1846"/>
      <c r="W1846"/>
    </row>
    <row r="1847" spans="17:23">
      <c r="Q1847" s="275">
        <f t="shared" si="70"/>
        <v>1.7829999999999144</v>
      </c>
      <c r="R1847" s="276">
        <v>2</v>
      </c>
      <c r="S1847" s="533"/>
      <c r="T1847"/>
      <c r="U1847"/>
      <c r="V1847"/>
      <c r="W1847"/>
    </row>
    <row r="1848" spans="17:23">
      <c r="Q1848" s="275">
        <f t="shared" si="70"/>
        <v>1.7839999999999143</v>
      </c>
      <c r="R1848" s="276">
        <v>2</v>
      </c>
      <c r="S1848" s="533"/>
      <c r="T1848"/>
      <c r="U1848"/>
      <c r="V1848"/>
      <c r="W1848"/>
    </row>
    <row r="1849" spans="17:23">
      <c r="Q1849" s="275">
        <f t="shared" si="70"/>
        <v>1.7849999999999142</v>
      </c>
      <c r="R1849" s="276">
        <v>2</v>
      </c>
      <c r="S1849" s="533"/>
      <c r="T1849"/>
      <c r="U1849"/>
      <c r="V1849"/>
      <c r="W1849"/>
    </row>
    <row r="1850" spans="17:23">
      <c r="Q1850" s="275">
        <f t="shared" si="70"/>
        <v>1.7859999999999141</v>
      </c>
      <c r="R1850" s="276">
        <v>2</v>
      </c>
      <c r="S1850" s="533"/>
      <c r="T1850"/>
      <c r="U1850"/>
      <c r="V1850"/>
      <c r="W1850"/>
    </row>
    <row r="1851" spans="17:23">
      <c r="Q1851" s="275">
        <f t="shared" si="70"/>
        <v>1.786999999999914</v>
      </c>
      <c r="R1851" s="276">
        <v>2</v>
      </c>
      <c r="S1851" s="533"/>
      <c r="T1851"/>
      <c r="U1851"/>
      <c r="V1851"/>
      <c r="W1851"/>
    </row>
    <row r="1852" spans="17:23">
      <c r="Q1852" s="275">
        <f t="shared" si="70"/>
        <v>1.7879999999999139</v>
      </c>
      <c r="R1852" s="276">
        <v>2</v>
      </c>
      <c r="S1852" s="533"/>
      <c r="T1852"/>
      <c r="U1852"/>
      <c r="V1852"/>
      <c r="W1852"/>
    </row>
    <row r="1853" spans="17:23">
      <c r="Q1853" s="275">
        <f t="shared" si="70"/>
        <v>1.7889999999999138</v>
      </c>
      <c r="R1853" s="276">
        <v>2</v>
      </c>
      <c r="S1853" s="533"/>
      <c r="T1853"/>
      <c r="U1853"/>
      <c r="V1853"/>
      <c r="W1853"/>
    </row>
    <row r="1854" spans="17:23">
      <c r="Q1854" s="275">
        <f t="shared" si="70"/>
        <v>1.7899999999999137</v>
      </c>
      <c r="R1854" s="276">
        <v>2</v>
      </c>
      <c r="S1854" s="533"/>
      <c r="T1854"/>
      <c r="U1854"/>
      <c r="V1854"/>
      <c r="W1854"/>
    </row>
    <row r="1855" spans="17:23">
      <c r="Q1855" s="275">
        <f t="shared" si="70"/>
        <v>1.7909999999999136</v>
      </c>
      <c r="R1855" s="276">
        <v>2</v>
      </c>
      <c r="S1855" s="533"/>
      <c r="T1855"/>
      <c r="U1855"/>
      <c r="V1855"/>
      <c r="W1855"/>
    </row>
    <row r="1856" spans="17:23">
      <c r="Q1856" s="275">
        <f t="shared" si="70"/>
        <v>1.7919999999999134</v>
      </c>
      <c r="R1856" s="276">
        <v>2</v>
      </c>
      <c r="S1856" s="533"/>
      <c r="T1856"/>
      <c r="U1856"/>
      <c r="V1856"/>
      <c r="W1856"/>
    </row>
    <row r="1857" spans="17:23">
      <c r="Q1857" s="275">
        <f t="shared" ref="Q1857:Q1920" si="71">Q1856+0.001</f>
        <v>1.7929999999999133</v>
      </c>
      <c r="R1857" s="276">
        <v>2</v>
      </c>
      <c r="S1857" s="533"/>
      <c r="T1857"/>
      <c r="U1857"/>
      <c r="V1857"/>
      <c r="W1857"/>
    </row>
    <row r="1858" spans="17:23">
      <c r="Q1858" s="275">
        <f t="shared" si="71"/>
        <v>1.7939999999999132</v>
      </c>
      <c r="R1858" s="276">
        <v>2</v>
      </c>
      <c r="S1858" s="533"/>
      <c r="T1858"/>
      <c r="U1858"/>
      <c r="V1858"/>
      <c r="W1858"/>
    </row>
    <row r="1859" spans="17:23">
      <c r="Q1859" s="275">
        <f t="shared" si="71"/>
        <v>1.7949999999999131</v>
      </c>
      <c r="R1859" s="276">
        <v>2</v>
      </c>
      <c r="S1859" s="533"/>
      <c r="T1859"/>
      <c r="U1859"/>
      <c r="V1859"/>
      <c r="W1859"/>
    </row>
    <row r="1860" spans="17:23">
      <c r="Q1860" s="275">
        <f t="shared" si="71"/>
        <v>1.795999999999913</v>
      </c>
      <c r="R1860" s="276">
        <v>2</v>
      </c>
      <c r="S1860" s="533"/>
      <c r="T1860"/>
      <c r="U1860"/>
      <c r="V1860"/>
      <c r="W1860"/>
    </row>
    <row r="1861" spans="17:23">
      <c r="Q1861" s="275">
        <f t="shared" si="71"/>
        <v>1.7969999999999129</v>
      </c>
      <c r="R1861" s="276">
        <v>2</v>
      </c>
      <c r="S1861" s="533"/>
      <c r="T1861"/>
      <c r="U1861"/>
      <c r="V1861"/>
      <c r="W1861"/>
    </row>
    <row r="1862" spans="17:23">
      <c r="Q1862" s="275">
        <f t="shared" si="71"/>
        <v>1.7979999999999128</v>
      </c>
      <c r="R1862" s="276">
        <v>2</v>
      </c>
      <c r="S1862" s="533"/>
      <c r="T1862"/>
      <c r="U1862"/>
      <c r="V1862"/>
      <c r="W1862"/>
    </row>
    <row r="1863" spans="17:23">
      <c r="Q1863" s="275">
        <f t="shared" si="71"/>
        <v>1.7989999999999127</v>
      </c>
      <c r="R1863" s="276">
        <v>2</v>
      </c>
      <c r="S1863" s="533"/>
      <c r="T1863"/>
      <c r="U1863"/>
      <c r="V1863"/>
      <c r="W1863"/>
    </row>
    <row r="1864" spans="17:23">
      <c r="Q1864" s="275">
        <f t="shared" si="71"/>
        <v>1.7999999999999126</v>
      </c>
      <c r="R1864" s="276">
        <v>2</v>
      </c>
      <c r="S1864" s="533"/>
      <c r="T1864"/>
      <c r="U1864"/>
      <c r="V1864"/>
      <c r="W1864"/>
    </row>
    <row r="1865" spans="17:23">
      <c r="Q1865" s="275">
        <f t="shared" si="71"/>
        <v>1.8009999999999124</v>
      </c>
      <c r="R1865" s="276">
        <v>2</v>
      </c>
      <c r="S1865" s="533"/>
      <c r="T1865"/>
      <c r="U1865"/>
      <c r="V1865"/>
      <c r="W1865"/>
    </row>
    <row r="1866" spans="17:23">
      <c r="Q1866" s="275">
        <f t="shared" si="71"/>
        <v>1.8019999999999123</v>
      </c>
      <c r="R1866" s="276">
        <v>2</v>
      </c>
      <c r="S1866" s="533"/>
      <c r="T1866"/>
      <c r="U1866"/>
      <c r="V1866"/>
      <c r="W1866"/>
    </row>
    <row r="1867" spans="17:23">
      <c r="Q1867" s="275">
        <f t="shared" si="71"/>
        <v>1.8029999999999122</v>
      </c>
      <c r="R1867" s="276">
        <v>2</v>
      </c>
      <c r="S1867" s="533"/>
      <c r="T1867"/>
      <c r="U1867"/>
      <c r="V1867"/>
      <c r="W1867"/>
    </row>
    <row r="1868" spans="17:23">
      <c r="Q1868" s="275">
        <f t="shared" si="71"/>
        <v>1.8039999999999121</v>
      </c>
      <c r="R1868" s="276">
        <v>2</v>
      </c>
      <c r="S1868" s="533"/>
      <c r="T1868"/>
      <c r="U1868"/>
      <c r="V1868"/>
      <c r="W1868"/>
    </row>
    <row r="1869" spans="17:23">
      <c r="Q1869" s="275">
        <f t="shared" si="71"/>
        <v>1.804999999999912</v>
      </c>
      <c r="R1869" s="276">
        <v>2</v>
      </c>
      <c r="S1869" s="533"/>
      <c r="T1869"/>
      <c r="U1869"/>
      <c r="V1869"/>
      <c r="W1869"/>
    </row>
    <row r="1870" spans="17:23">
      <c r="Q1870" s="275">
        <f t="shared" si="71"/>
        <v>1.8059999999999119</v>
      </c>
      <c r="R1870" s="276">
        <v>2</v>
      </c>
      <c r="S1870" s="533"/>
      <c r="T1870"/>
      <c r="U1870"/>
      <c r="V1870"/>
      <c r="W1870"/>
    </row>
    <row r="1871" spans="17:23">
      <c r="Q1871" s="275">
        <f t="shared" si="71"/>
        <v>1.8069999999999118</v>
      </c>
      <c r="R1871" s="276">
        <v>2</v>
      </c>
      <c r="S1871" s="533"/>
      <c r="T1871"/>
      <c r="U1871"/>
      <c r="V1871"/>
      <c r="W1871"/>
    </row>
    <row r="1872" spans="17:23">
      <c r="Q1872" s="275">
        <f t="shared" si="71"/>
        <v>1.8079999999999117</v>
      </c>
      <c r="R1872" s="276">
        <v>2</v>
      </c>
      <c r="S1872" s="533"/>
      <c r="T1872"/>
      <c r="U1872"/>
      <c r="V1872"/>
      <c r="W1872"/>
    </row>
    <row r="1873" spans="17:23">
      <c r="Q1873" s="275">
        <f t="shared" si="71"/>
        <v>1.8089999999999116</v>
      </c>
      <c r="R1873" s="276">
        <v>2</v>
      </c>
      <c r="S1873" s="533"/>
      <c r="T1873"/>
      <c r="U1873"/>
      <c r="V1873"/>
      <c r="W1873"/>
    </row>
    <row r="1874" spans="17:23">
      <c r="Q1874" s="275">
        <f t="shared" si="71"/>
        <v>1.8099999999999115</v>
      </c>
      <c r="R1874" s="276">
        <v>2</v>
      </c>
      <c r="S1874" s="533"/>
      <c r="T1874"/>
      <c r="U1874"/>
      <c r="V1874"/>
      <c r="W1874"/>
    </row>
    <row r="1875" spans="17:23">
      <c r="Q1875" s="275">
        <f t="shared" si="71"/>
        <v>1.8109999999999113</v>
      </c>
      <c r="R1875" s="276">
        <v>2</v>
      </c>
      <c r="S1875" s="533"/>
      <c r="T1875"/>
      <c r="U1875"/>
      <c r="V1875"/>
      <c r="W1875"/>
    </row>
    <row r="1876" spans="17:23">
      <c r="Q1876" s="275">
        <f t="shared" si="71"/>
        <v>1.8119999999999112</v>
      </c>
      <c r="R1876" s="276">
        <v>2</v>
      </c>
      <c r="S1876" s="533"/>
      <c r="T1876"/>
      <c r="U1876"/>
      <c r="V1876"/>
      <c r="W1876"/>
    </row>
    <row r="1877" spans="17:23">
      <c r="Q1877" s="275">
        <f t="shared" si="71"/>
        <v>1.8129999999999111</v>
      </c>
      <c r="R1877" s="276">
        <v>2</v>
      </c>
      <c r="S1877" s="533"/>
      <c r="T1877"/>
      <c r="U1877"/>
      <c r="V1877"/>
      <c r="W1877"/>
    </row>
    <row r="1878" spans="17:23">
      <c r="Q1878" s="275">
        <f t="shared" si="71"/>
        <v>1.813999999999911</v>
      </c>
      <c r="R1878" s="276">
        <v>2</v>
      </c>
      <c r="S1878" s="533"/>
      <c r="T1878"/>
      <c r="U1878"/>
      <c r="V1878"/>
      <c r="W1878"/>
    </row>
    <row r="1879" spans="17:23">
      <c r="Q1879" s="275">
        <f t="shared" si="71"/>
        <v>1.8149999999999109</v>
      </c>
      <c r="R1879" s="276">
        <v>2</v>
      </c>
      <c r="S1879" s="533"/>
      <c r="T1879"/>
      <c r="U1879"/>
      <c r="V1879"/>
      <c r="W1879"/>
    </row>
    <row r="1880" spans="17:23">
      <c r="Q1880" s="275">
        <f t="shared" si="71"/>
        <v>1.8159999999999108</v>
      </c>
      <c r="R1880" s="276">
        <v>2</v>
      </c>
      <c r="S1880" s="533"/>
      <c r="T1880"/>
      <c r="U1880"/>
      <c r="V1880"/>
      <c r="W1880"/>
    </row>
    <row r="1881" spans="17:23">
      <c r="Q1881" s="275">
        <f t="shared" si="71"/>
        <v>1.8169999999999107</v>
      </c>
      <c r="R1881" s="276">
        <v>2</v>
      </c>
      <c r="S1881" s="533"/>
      <c r="T1881"/>
      <c r="U1881"/>
      <c r="V1881"/>
      <c r="W1881"/>
    </row>
    <row r="1882" spans="17:23">
      <c r="Q1882" s="275">
        <f t="shared" si="71"/>
        <v>1.8179999999999106</v>
      </c>
      <c r="R1882" s="276">
        <v>2</v>
      </c>
      <c r="S1882" s="533"/>
      <c r="T1882"/>
      <c r="U1882"/>
      <c r="V1882"/>
      <c r="W1882"/>
    </row>
    <row r="1883" spans="17:23">
      <c r="Q1883" s="275">
        <f t="shared" si="71"/>
        <v>1.8189999999999105</v>
      </c>
      <c r="R1883" s="276">
        <v>2</v>
      </c>
      <c r="S1883" s="533"/>
      <c r="T1883"/>
      <c r="U1883"/>
      <c r="V1883"/>
      <c r="W1883"/>
    </row>
    <row r="1884" spans="17:23">
      <c r="Q1884" s="275">
        <f t="shared" si="71"/>
        <v>1.8199999999999104</v>
      </c>
      <c r="R1884" s="276">
        <v>2</v>
      </c>
      <c r="S1884" s="533"/>
      <c r="T1884"/>
      <c r="U1884"/>
      <c r="V1884"/>
      <c r="W1884"/>
    </row>
    <row r="1885" spans="17:23">
      <c r="Q1885" s="275">
        <f t="shared" si="71"/>
        <v>1.8209999999999102</v>
      </c>
      <c r="R1885" s="276">
        <v>2</v>
      </c>
      <c r="S1885" s="533"/>
      <c r="T1885"/>
      <c r="U1885"/>
      <c r="V1885"/>
      <c r="W1885"/>
    </row>
    <row r="1886" spans="17:23">
      <c r="Q1886" s="275">
        <f t="shared" si="71"/>
        <v>1.8219999999999101</v>
      </c>
      <c r="R1886" s="276">
        <v>2</v>
      </c>
      <c r="S1886" s="533"/>
      <c r="T1886"/>
      <c r="U1886"/>
      <c r="V1886"/>
      <c r="W1886"/>
    </row>
    <row r="1887" spans="17:23">
      <c r="Q1887" s="275">
        <f t="shared" si="71"/>
        <v>1.82299999999991</v>
      </c>
      <c r="R1887" s="276">
        <v>2</v>
      </c>
      <c r="S1887" s="533"/>
      <c r="T1887"/>
      <c r="U1887"/>
      <c r="V1887"/>
      <c r="W1887"/>
    </row>
    <row r="1888" spans="17:23">
      <c r="Q1888" s="275">
        <f t="shared" si="71"/>
        <v>1.8239999999999099</v>
      </c>
      <c r="R1888" s="276">
        <v>2</v>
      </c>
      <c r="S1888" s="533"/>
      <c r="T1888"/>
      <c r="U1888"/>
      <c r="V1888"/>
      <c r="W1888"/>
    </row>
    <row r="1889" spans="17:23">
      <c r="Q1889" s="275">
        <f t="shared" si="71"/>
        <v>1.8249999999999098</v>
      </c>
      <c r="R1889" s="276">
        <v>2</v>
      </c>
      <c r="S1889" s="533"/>
      <c r="T1889"/>
      <c r="U1889"/>
      <c r="V1889"/>
      <c r="W1889"/>
    </row>
    <row r="1890" spans="17:23">
      <c r="Q1890" s="275">
        <f t="shared" si="71"/>
        <v>1.8259999999999097</v>
      </c>
      <c r="R1890" s="276">
        <v>2</v>
      </c>
      <c r="S1890" s="533"/>
      <c r="T1890"/>
      <c r="U1890"/>
      <c r="V1890"/>
      <c r="W1890"/>
    </row>
    <row r="1891" spans="17:23">
      <c r="Q1891" s="275">
        <f t="shared" si="71"/>
        <v>1.8269999999999096</v>
      </c>
      <c r="R1891" s="276">
        <v>2</v>
      </c>
      <c r="S1891" s="533"/>
      <c r="T1891"/>
      <c r="U1891"/>
      <c r="V1891"/>
      <c r="W1891"/>
    </row>
    <row r="1892" spans="17:23">
      <c r="Q1892" s="275">
        <f t="shared" si="71"/>
        <v>1.8279999999999095</v>
      </c>
      <c r="R1892" s="276">
        <v>2</v>
      </c>
      <c r="S1892" s="533"/>
      <c r="T1892"/>
      <c r="U1892"/>
      <c r="V1892"/>
      <c r="W1892"/>
    </row>
    <row r="1893" spans="17:23">
      <c r="Q1893" s="275">
        <f t="shared" si="71"/>
        <v>1.8289999999999094</v>
      </c>
      <c r="R1893" s="276">
        <v>2</v>
      </c>
      <c r="S1893" s="533"/>
      <c r="T1893"/>
      <c r="U1893"/>
      <c r="V1893"/>
      <c r="W1893"/>
    </row>
    <row r="1894" spans="17:23">
      <c r="Q1894" s="275">
        <f t="shared" si="71"/>
        <v>1.8299999999999093</v>
      </c>
      <c r="R1894" s="276">
        <v>2</v>
      </c>
      <c r="S1894" s="533"/>
      <c r="T1894"/>
      <c r="U1894"/>
      <c r="V1894"/>
      <c r="W1894"/>
    </row>
    <row r="1895" spans="17:23">
      <c r="Q1895" s="275">
        <f t="shared" si="71"/>
        <v>1.8309999999999091</v>
      </c>
      <c r="R1895" s="276">
        <v>2</v>
      </c>
      <c r="S1895" s="533"/>
      <c r="T1895"/>
      <c r="U1895"/>
      <c r="V1895"/>
      <c r="W1895"/>
    </row>
    <row r="1896" spans="17:23">
      <c r="Q1896" s="275">
        <f t="shared" si="71"/>
        <v>1.831999999999909</v>
      </c>
      <c r="R1896" s="276">
        <v>2</v>
      </c>
      <c r="S1896" s="533"/>
      <c r="T1896"/>
      <c r="U1896"/>
      <c r="V1896"/>
      <c r="W1896"/>
    </row>
    <row r="1897" spans="17:23">
      <c r="Q1897" s="275">
        <f t="shared" si="71"/>
        <v>1.8329999999999089</v>
      </c>
      <c r="R1897" s="276">
        <v>2</v>
      </c>
      <c r="S1897" s="533"/>
      <c r="T1897"/>
      <c r="U1897"/>
      <c r="V1897"/>
      <c r="W1897"/>
    </row>
    <row r="1898" spans="17:23">
      <c r="Q1898" s="275">
        <f t="shared" si="71"/>
        <v>1.8339999999999088</v>
      </c>
      <c r="R1898" s="276">
        <v>2</v>
      </c>
      <c r="S1898" s="533"/>
      <c r="T1898"/>
      <c r="U1898"/>
      <c r="V1898"/>
      <c r="W1898"/>
    </row>
    <row r="1899" spans="17:23">
      <c r="Q1899" s="275">
        <f t="shared" si="71"/>
        <v>1.8349999999999087</v>
      </c>
      <c r="R1899" s="276">
        <v>2</v>
      </c>
      <c r="S1899" s="533"/>
      <c r="T1899"/>
      <c r="U1899"/>
      <c r="V1899"/>
      <c r="W1899"/>
    </row>
    <row r="1900" spans="17:23">
      <c r="Q1900" s="275">
        <f t="shared" si="71"/>
        <v>1.8359999999999086</v>
      </c>
      <c r="R1900" s="276">
        <v>2</v>
      </c>
      <c r="S1900" s="533"/>
      <c r="T1900"/>
      <c r="U1900"/>
      <c r="V1900"/>
      <c r="W1900"/>
    </row>
    <row r="1901" spans="17:23">
      <c r="Q1901" s="275">
        <f t="shared" si="71"/>
        <v>1.8369999999999085</v>
      </c>
      <c r="R1901" s="276">
        <v>2</v>
      </c>
      <c r="S1901" s="533"/>
      <c r="T1901"/>
      <c r="U1901"/>
      <c r="V1901"/>
      <c r="W1901"/>
    </row>
    <row r="1902" spans="17:23">
      <c r="Q1902" s="275">
        <f t="shared" si="71"/>
        <v>1.8379999999999084</v>
      </c>
      <c r="R1902" s="276">
        <v>2</v>
      </c>
      <c r="S1902" s="533"/>
      <c r="T1902"/>
      <c r="U1902"/>
      <c r="V1902"/>
      <c r="W1902"/>
    </row>
    <row r="1903" spans="17:23">
      <c r="Q1903" s="275">
        <f t="shared" si="71"/>
        <v>1.8389999999999083</v>
      </c>
      <c r="R1903" s="276">
        <v>2</v>
      </c>
      <c r="S1903" s="533"/>
      <c r="T1903"/>
      <c r="U1903"/>
      <c r="V1903"/>
      <c r="W1903"/>
    </row>
    <row r="1904" spans="17:23">
      <c r="Q1904" s="275">
        <f t="shared" si="71"/>
        <v>1.8399999999999082</v>
      </c>
      <c r="R1904" s="276">
        <v>2</v>
      </c>
      <c r="S1904" s="533"/>
      <c r="T1904"/>
      <c r="U1904"/>
      <c r="V1904"/>
      <c r="W1904"/>
    </row>
    <row r="1905" spans="17:23">
      <c r="Q1905" s="275">
        <f t="shared" si="71"/>
        <v>1.840999999999908</v>
      </c>
      <c r="R1905" s="276">
        <v>2</v>
      </c>
      <c r="S1905" s="533"/>
      <c r="T1905"/>
      <c r="U1905"/>
      <c r="V1905"/>
      <c r="W1905"/>
    </row>
    <row r="1906" spans="17:23">
      <c r="Q1906" s="275">
        <f t="shared" si="71"/>
        <v>1.8419999999999079</v>
      </c>
      <c r="R1906" s="276">
        <v>2</v>
      </c>
      <c r="S1906" s="533"/>
      <c r="T1906"/>
      <c r="U1906"/>
      <c r="V1906"/>
      <c r="W1906"/>
    </row>
    <row r="1907" spans="17:23">
      <c r="Q1907" s="275">
        <f t="shared" si="71"/>
        <v>1.8429999999999078</v>
      </c>
      <c r="R1907" s="276">
        <v>2</v>
      </c>
      <c r="S1907" s="533"/>
      <c r="T1907"/>
      <c r="U1907"/>
      <c r="V1907"/>
      <c r="W1907"/>
    </row>
    <row r="1908" spans="17:23">
      <c r="Q1908" s="275">
        <f t="shared" si="71"/>
        <v>1.8439999999999077</v>
      </c>
      <c r="R1908" s="276">
        <v>2</v>
      </c>
      <c r="S1908" s="533"/>
      <c r="T1908"/>
      <c r="U1908"/>
      <c r="V1908"/>
      <c r="W1908"/>
    </row>
    <row r="1909" spans="17:23">
      <c r="Q1909" s="275">
        <f t="shared" si="71"/>
        <v>1.8449999999999076</v>
      </c>
      <c r="R1909" s="276">
        <v>2</v>
      </c>
      <c r="S1909" s="533"/>
      <c r="T1909"/>
      <c r="U1909"/>
      <c r="V1909"/>
      <c r="W1909"/>
    </row>
    <row r="1910" spans="17:23">
      <c r="Q1910" s="275">
        <f t="shared" si="71"/>
        <v>1.8459999999999075</v>
      </c>
      <c r="R1910" s="276">
        <v>2</v>
      </c>
      <c r="S1910" s="533"/>
      <c r="T1910"/>
      <c r="U1910"/>
      <c r="V1910"/>
      <c r="W1910"/>
    </row>
    <row r="1911" spans="17:23">
      <c r="Q1911" s="275">
        <f t="shared" si="71"/>
        <v>1.8469999999999074</v>
      </c>
      <c r="R1911" s="276">
        <v>2</v>
      </c>
      <c r="S1911" s="533"/>
      <c r="T1911"/>
      <c r="U1911"/>
      <c r="V1911"/>
      <c r="W1911"/>
    </row>
    <row r="1912" spans="17:23">
      <c r="Q1912" s="275">
        <f t="shared" si="71"/>
        <v>1.8479999999999073</v>
      </c>
      <c r="R1912" s="276">
        <v>2</v>
      </c>
      <c r="S1912" s="533"/>
      <c r="T1912"/>
      <c r="U1912"/>
      <c r="V1912"/>
      <c r="W1912"/>
    </row>
    <row r="1913" spans="17:23">
      <c r="Q1913" s="275">
        <f t="shared" si="71"/>
        <v>1.8489999999999072</v>
      </c>
      <c r="R1913" s="276">
        <v>2</v>
      </c>
      <c r="S1913" s="533"/>
      <c r="T1913"/>
      <c r="U1913"/>
      <c r="V1913"/>
      <c r="W1913"/>
    </row>
    <row r="1914" spans="17:23">
      <c r="Q1914" s="275">
        <f t="shared" si="71"/>
        <v>1.8499999999999071</v>
      </c>
      <c r="R1914" s="276">
        <v>2</v>
      </c>
      <c r="S1914" s="533"/>
      <c r="T1914"/>
      <c r="U1914"/>
      <c r="V1914"/>
      <c r="W1914"/>
    </row>
    <row r="1915" spans="17:23">
      <c r="Q1915" s="275">
        <f t="shared" si="71"/>
        <v>1.8509999999999069</v>
      </c>
      <c r="R1915" s="276">
        <v>2</v>
      </c>
      <c r="S1915" s="533"/>
      <c r="T1915"/>
      <c r="U1915"/>
      <c r="V1915"/>
      <c r="W1915"/>
    </row>
    <row r="1916" spans="17:23">
      <c r="Q1916" s="275">
        <f t="shared" si="71"/>
        <v>1.8519999999999068</v>
      </c>
      <c r="R1916" s="276">
        <v>2</v>
      </c>
      <c r="S1916" s="533"/>
      <c r="T1916"/>
      <c r="U1916"/>
      <c r="V1916"/>
      <c r="W1916"/>
    </row>
    <row r="1917" spans="17:23">
      <c r="Q1917" s="275">
        <f t="shared" si="71"/>
        <v>1.8529999999999067</v>
      </c>
      <c r="R1917" s="276">
        <v>2</v>
      </c>
      <c r="S1917" s="533"/>
      <c r="T1917"/>
      <c r="U1917"/>
      <c r="V1917"/>
      <c r="W1917"/>
    </row>
    <row r="1918" spans="17:23">
      <c r="Q1918" s="275">
        <f t="shared" si="71"/>
        <v>1.8539999999999066</v>
      </c>
      <c r="R1918" s="276">
        <v>2</v>
      </c>
      <c r="S1918" s="533"/>
      <c r="T1918"/>
      <c r="U1918"/>
      <c r="V1918"/>
      <c r="W1918"/>
    </row>
    <row r="1919" spans="17:23">
      <c r="Q1919" s="275">
        <f t="shared" si="71"/>
        <v>1.8549999999999065</v>
      </c>
      <c r="R1919" s="276">
        <v>2</v>
      </c>
      <c r="S1919" s="533"/>
      <c r="T1919"/>
      <c r="U1919"/>
      <c r="V1919"/>
      <c r="W1919"/>
    </row>
    <row r="1920" spans="17:23">
      <c r="Q1920" s="275">
        <f t="shared" si="71"/>
        <v>1.8559999999999064</v>
      </c>
      <c r="R1920" s="276">
        <v>2</v>
      </c>
      <c r="S1920" s="533"/>
      <c r="T1920"/>
      <c r="U1920"/>
      <c r="V1920"/>
      <c r="W1920"/>
    </row>
    <row r="1921" spans="17:23">
      <c r="Q1921" s="275">
        <f t="shared" ref="Q1921:Q1984" si="72">Q1920+0.001</f>
        <v>1.8569999999999063</v>
      </c>
      <c r="R1921" s="276">
        <v>2</v>
      </c>
      <c r="S1921" s="533"/>
      <c r="T1921"/>
      <c r="U1921"/>
      <c r="V1921"/>
      <c r="W1921"/>
    </row>
    <row r="1922" spans="17:23">
      <c r="Q1922" s="275">
        <f t="shared" si="72"/>
        <v>1.8579999999999062</v>
      </c>
      <c r="R1922" s="276">
        <v>2</v>
      </c>
      <c r="S1922" s="533"/>
      <c r="T1922"/>
      <c r="U1922"/>
      <c r="V1922"/>
      <c r="W1922"/>
    </row>
    <row r="1923" spans="17:23">
      <c r="Q1923" s="275">
        <f t="shared" si="72"/>
        <v>1.8589999999999061</v>
      </c>
      <c r="R1923" s="276">
        <v>2</v>
      </c>
      <c r="S1923" s="533"/>
      <c r="T1923"/>
      <c r="U1923"/>
      <c r="V1923"/>
      <c r="W1923"/>
    </row>
    <row r="1924" spans="17:23">
      <c r="Q1924" s="275">
        <f t="shared" si="72"/>
        <v>1.859999999999906</v>
      </c>
      <c r="R1924" s="276">
        <v>2</v>
      </c>
      <c r="S1924" s="533"/>
      <c r="T1924"/>
      <c r="U1924"/>
      <c r="V1924"/>
      <c r="W1924"/>
    </row>
    <row r="1925" spans="17:23">
      <c r="Q1925" s="275">
        <f t="shared" si="72"/>
        <v>1.8609999999999058</v>
      </c>
      <c r="R1925" s="276">
        <v>2</v>
      </c>
      <c r="S1925" s="533"/>
      <c r="T1925"/>
      <c r="U1925"/>
      <c r="V1925"/>
      <c r="W1925"/>
    </row>
    <row r="1926" spans="17:23">
      <c r="Q1926" s="275">
        <f t="shared" si="72"/>
        <v>1.8619999999999057</v>
      </c>
      <c r="R1926" s="276">
        <v>2</v>
      </c>
      <c r="S1926" s="533"/>
      <c r="T1926"/>
      <c r="U1926"/>
      <c r="V1926"/>
      <c r="W1926"/>
    </row>
    <row r="1927" spans="17:23">
      <c r="Q1927" s="275">
        <f t="shared" si="72"/>
        <v>1.8629999999999056</v>
      </c>
      <c r="R1927" s="276">
        <v>2</v>
      </c>
      <c r="S1927" s="533"/>
      <c r="T1927"/>
      <c r="U1927"/>
      <c r="V1927"/>
      <c r="W1927"/>
    </row>
    <row r="1928" spans="17:23">
      <c r="Q1928" s="275">
        <f t="shared" si="72"/>
        <v>1.8639999999999055</v>
      </c>
      <c r="R1928" s="276">
        <v>2</v>
      </c>
      <c r="S1928" s="533"/>
      <c r="T1928"/>
      <c r="U1928"/>
      <c r="V1928"/>
      <c r="W1928"/>
    </row>
    <row r="1929" spans="17:23">
      <c r="Q1929" s="275">
        <f t="shared" si="72"/>
        <v>1.8649999999999054</v>
      </c>
      <c r="R1929" s="276">
        <v>2</v>
      </c>
      <c r="S1929" s="533"/>
      <c r="T1929"/>
      <c r="U1929"/>
      <c r="V1929"/>
      <c r="W1929"/>
    </row>
    <row r="1930" spans="17:23">
      <c r="Q1930" s="275">
        <f t="shared" si="72"/>
        <v>1.8659999999999053</v>
      </c>
      <c r="R1930" s="276">
        <v>2</v>
      </c>
      <c r="S1930" s="533"/>
      <c r="T1930"/>
      <c r="U1930"/>
      <c r="V1930"/>
      <c r="W1930"/>
    </row>
    <row r="1931" spans="17:23">
      <c r="Q1931" s="275">
        <f t="shared" si="72"/>
        <v>1.8669999999999052</v>
      </c>
      <c r="R1931" s="276">
        <v>2</v>
      </c>
      <c r="S1931" s="533"/>
      <c r="T1931"/>
      <c r="U1931"/>
      <c r="V1931"/>
      <c r="W1931"/>
    </row>
    <row r="1932" spans="17:23">
      <c r="Q1932" s="275">
        <f t="shared" si="72"/>
        <v>1.8679999999999051</v>
      </c>
      <c r="R1932" s="276">
        <v>2</v>
      </c>
      <c r="S1932" s="533"/>
      <c r="T1932"/>
      <c r="U1932"/>
      <c r="V1932"/>
      <c r="W1932"/>
    </row>
    <row r="1933" spans="17:23">
      <c r="Q1933" s="275">
        <f t="shared" si="72"/>
        <v>1.868999999999905</v>
      </c>
      <c r="R1933" s="276">
        <v>2</v>
      </c>
      <c r="S1933" s="533"/>
      <c r="T1933"/>
      <c r="U1933"/>
      <c r="V1933"/>
      <c r="W1933"/>
    </row>
    <row r="1934" spans="17:23">
      <c r="Q1934" s="275">
        <f t="shared" si="72"/>
        <v>1.8699999999999048</v>
      </c>
      <c r="R1934" s="276">
        <v>2</v>
      </c>
      <c r="S1934" s="533"/>
      <c r="T1934"/>
      <c r="U1934"/>
      <c r="V1934"/>
      <c r="W1934"/>
    </row>
    <row r="1935" spans="17:23">
      <c r="Q1935" s="275">
        <f t="shared" si="72"/>
        <v>1.8709999999999047</v>
      </c>
      <c r="R1935" s="276">
        <v>2</v>
      </c>
      <c r="S1935" s="533"/>
      <c r="T1935"/>
      <c r="U1935"/>
      <c r="V1935"/>
      <c r="W1935"/>
    </row>
    <row r="1936" spans="17:23">
      <c r="Q1936" s="275">
        <f t="shared" si="72"/>
        <v>1.8719999999999046</v>
      </c>
      <c r="R1936" s="276">
        <v>2</v>
      </c>
      <c r="S1936" s="533"/>
      <c r="T1936"/>
      <c r="U1936"/>
      <c r="V1936"/>
      <c r="W1936"/>
    </row>
    <row r="1937" spans="17:23">
      <c r="Q1937" s="275">
        <f t="shared" si="72"/>
        <v>1.8729999999999045</v>
      </c>
      <c r="R1937" s="276">
        <v>2</v>
      </c>
      <c r="S1937" s="533"/>
      <c r="T1937"/>
      <c r="U1937"/>
      <c r="V1937"/>
      <c r="W1937"/>
    </row>
    <row r="1938" spans="17:23">
      <c r="Q1938" s="275">
        <f t="shared" si="72"/>
        <v>1.8739999999999044</v>
      </c>
      <c r="R1938" s="276">
        <v>2</v>
      </c>
      <c r="S1938" s="533"/>
      <c r="T1938"/>
      <c r="U1938"/>
      <c r="V1938"/>
      <c r="W1938"/>
    </row>
    <row r="1939" spans="17:23">
      <c r="Q1939" s="275">
        <f t="shared" si="72"/>
        <v>1.8749999999999043</v>
      </c>
      <c r="R1939" s="276">
        <v>2</v>
      </c>
      <c r="S1939" s="533"/>
      <c r="T1939"/>
      <c r="U1939"/>
      <c r="V1939"/>
      <c r="W1939"/>
    </row>
    <row r="1940" spans="17:23">
      <c r="Q1940" s="275">
        <f t="shared" si="72"/>
        <v>1.8759999999999042</v>
      </c>
      <c r="R1940" s="276">
        <v>2</v>
      </c>
      <c r="S1940" s="533"/>
      <c r="T1940"/>
      <c r="U1940"/>
      <c r="V1940"/>
      <c r="W1940"/>
    </row>
    <row r="1941" spans="17:23">
      <c r="Q1941" s="275">
        <f t="shared" si="72"/>
        <v>1.8769999999999041</v>
      </c>
      <c r="R1941" s="276">
        <v>2</v>
      </c>
      <c r="S1941" s="533"/>
      <c r="T1941"/>
      <c r="U1941"/>
      <c r="V1941"/>
      <c r="W1941"/>
    </row>
    <row r="1942" spans="17:23">
      <c r="Q1942" s="275">
        <f t="shared" si="72"/>
        <v>1.877999999999904</v>
      </c>
      <c r="R1942" s="276">
        <v>2</v>
      </c>
      <c r="S1942" s="533"/>
      <c r="T1942"/>
      <c r="U1942"/>
      <c r="V1942"/>
      <c r="W1942"/>
    </row>
    <row r="1943" spans="17:23">
      <c r="Q1943" s="275">
        <f t="shared" si="72"/>
        <v>1.8789999999999039</v>
      </c>
      <c r="R1943" s="276">
        <v>2</v>
      </c>
      <c r="S1943" s="533"/>
      <c r="T1943"/>
      <c r="U1943"/>
      <c r="V1943"/>
      <c r="W1943"/>
    </row>
    <row r="1944" spans="17:23">
      <c r="Q1944" s="275">
        <f t="shared" si="72"/>
        <v>1.8799999999999037</v>
      </c>
      <c r="R1944" s="276">
        <v>2</v>
      </c>
      <c r="S1944" s="533"/>
      <c r="T1944"/>
      <c r="U1944"/>
      <c r="V1944"/>
      <c r="W1944"/>
    </row>
    <row r="1945" spans="17:23">
      <c r="Q1945" s="275">
        <f t="shared" si="72"/>
        <v>1.8809999999999036</v>
      </c>
      <c r="R1945" s="276">
        <v>2</v>
      </c>
      <c r="S1945" s="533"/>
      <c r="T1945"/>
      <c r="U1945"/>
      <c r="V1945"/>
      <c r="W1945"/>
    </row>
    <row r="1946" spans="17:23">
      <c r="Q1946" s="275">
        <f t="shared" si="72"/>
        <v>1.8819999999999035</v>
      </c>
      <c r="R1946" s="276">
        <v>2</v>
      </c>
      <c r="S1946" s="533"/>
      <c r="T1946"/>
      <c r="U1946"/>
      <c r="V1946"/>
      <c r="W1946"/>
    </row>
    <row r="1947" spans="17:23">
      <c r="Q1947" s="275">
        <f t="shared" si="72"/>
        <v>1.8829999999999034</v>
      </c>
      <c r="R1947" s="276">
        <v>2</v>
      </c>
      <c r="S1947" s="533"/>
      <c r="T1947"/>
      <c r="U1947"/>
      <c r="V1947"/>
      <c r="W1947"/>
    </row>
    <row r="1948" spans="17:23">
      <c r="Q1948" s="275">
        <f t="shared" si="72"/>
        <v>1.8839999999999033</v>
      </c>
      <c r="R1948" s="276">
        <v>2</v>
      </c>
      <c r="S1948" s="533"/>
      <c r="T1948"/>
      <c r="U1948"/>
      <c r="V1948"/>
      <c r="W1948"/>
    </row>
    <row r="1949" spans="17:23">
      <c r="Q1949" s="275">
        <f t="shared" si="72"/>
        <v>1.8849999999999032</v>
      </c>
      <c r="R1949" s="276">
        <v>2</v>
      </c>
      <c r="S1949" s="533"/>
      <c r="T1949"/>
      <c r="U1949"/>
      <c r="V1949"/>
      <c r="W1949"/>
    </row>
    <row r="1950" spans="17:23">
      <c r="Q1950" s="275">
        <f t="shared" si="72"/>
        <v>1.8859999999999031</v>
      </c>
      <c r="R1950" s="276">
        <v>2</v>
      </c>
      <c r="S1950" s="533"/>
      <c r="T1950"/>
      <c r="U1950"/>
      <c r="V1950"/>
      <c r="W1950"/>
    </row>
    <row r="1951" spans="17:23">
      <c r="Q1951" s="275">
        <f t="shared" si="72"/>
        <v>1.886999999999903</v>
      </c>
      <c r="R1951" s="276">
        <v>2</v>
      </c>
      <c r="S1951" s="533"/>
      <c r="T1951"/>
      <c r="U1951"/>
      <c r="V1951"/>
      <c r="W1951"/>
    </row>
    <row r="1952" spans="17:23">
      <c r="Q1952" s="275">
        <f t="shared" si="72"/>
        <v>1.8879999999999029</v>
      </c>
      <c r="R1952" s="276">
        <v>2</v>
      </c>
      <c r="S1952" s="533"/>
      <c r="T1952"/>
      <c r="U1952"/>
      <c r="V1952"/>
      <c r="W1952"/>
    </row>
    <row r="1953" spans="17:23">
      <c r="Q1953" s="275">
        <f t="shared" si="72"/>
        <v>1.8889999999999028</v>
      </c>
      <c r="R1953" s="276">
        <v>2</v>
      </c>
      <c r="S1953" s="533"/>
      <c r="T1953"/>
      <c r="U1953"/>
      <c r="V1953"/>
      <c r="W1953"/>
    </row>
    <row r="1954" spans="17:23">
      <c r="Q1954" s="275">
        <f t="shared" si="72"/>
        <v>1.8899999999999026</v>
      </c>
      <c r="R1954" s="276">
        <v>2</v>
      </c>
      <c r="S1954" s="533"/>
      <c r="T1954"/>
      <c r="U1954"/>
      <c r="V1954"/>
      <c r="W1954"/>
    </row>
    <row r="1955" spans="17:23">
      <c r="Q1955" s="275">
        <f t="shared" si="72"/>
        <v>1.8909999999999025</v>
      </c>
      <c r="R1955" s="276">
        <v>2</v>
      </c>
      <c r="S1955" s="533"/>
      <c r="T1955"/>
      <c r="U1955"/>
      <c r="V1955"/>
      <c r="W1955"/>
    </row>
    <row r="1956" spans="17:23">
      <c r="Q1956" s="275">
        <f t="shared" si="72"/>
        <v>1.8919999999999024</v>
      </c>
      <c r="R1956" s="276">
        <v>2</v>
      </c>
      <c r="S1956" s="533"/>
      <c r="T1956"/>
      <c r="U1956"/>
      <c r="V1956"/>
      <c r="W1956"/>
    </row>
    <row r="1957" spans="17:23">
      <c r="Q1957" s="275">
        <f t="shared" si="72"/>
        <v>1.8929999999999023</v>
      </c>
      <c r="R1957" s="276">
        <v>2</v>
      </c>
      <c r="S1957" s="533"/>
      <c r="T1957"/>
      <c r="U1957"/>
      <c r="V1957"/>
      <c r="W1957"/>
    </row>
    <row r="1958" spans="17:23">
      <c r="Q1958" s="275">
        <f t="shared" si="72"/>
        <v>1.8939999999999022</v>
      </c>
      <c r="R1958" s="276">
        <v>2</v>
      </c>
      <c r="S1958" s="533"/>
      <c r="T1958"/>
      <c r="U1958"/>
      <c r="V1958"/>
      <c r="W1958"/>
    </row>
    <row r="1959" spans="17:23">
      <c r="Q1959" s="275">
        <f t="shared" si="72"/>
        <v>1.8949999999999021</v>
      </c>
      <c r="R1959" s="276">
        <v>2</v>
      </c>
      <c r="S1959" s="533"/>
      <c r="T1959"/>
      <c r="U1959"/>
      <c r="V1959"/>
      <c r="W1959"/>
    </row>
    <row r="1960" spans="17:23">
      <c r="Q1960" s="275">
        <f t="shared" si="72"/>
        <v>1.895999999999902</v>
      </c>
      <c r="R1960" s="276">
        <v>2</v>
      </c>
      <c r="S1960" s="533"/>
      <c r="T1960"/>
      <c r="U1960"/>
      <c r="V1960"/>
      <c r="W1960"/>
    </row>
    <row r="1961" spans="17:23">
      <c r="Q1961" s="275">
        <f t="shared" si="72"/>
        <v>1.8969999999999019</v>
      </c>
      <c r="R1961" s="276">
        <v>2</v>
      </c>
      <c r="S1961" s="533"/>
      <c r="T1961"/>
      <c r="U1961"/>
      <c r="V1961"/>
      <c r="W1961"/>
    </row>
    <row r="1962" spans="17:23">
      <c r="Q1962" s="275">
        <f t="shared" si="72"/>
        <v>1.8979999999999018</v>
      </c>
      <c r="R1962" s="276">
        <v>2</v>
      </c>
      <c r="S1962" s="533"/>
      <c r="T1962"/>
      <c r="U1962"/>
      <c r="V1962"/>
      <c r="W1962"/>
    </row>
    <row r="1963" spans="17:23">
      <c r="Q1963" s="275">
        <f t="shared" si="72"/>
        <v>1.8989999999999017</v>
      </c>
      <c r="R1963" s="276">
        <v>2</v>
      </c>
      <c r="S1963" s="533"/>
      <c r="T1963"/>
      <c r="U1963"/>
      <c r="V1963"/>
      <c r="W1963"/>
    </row>
    <row r="1964" spans="17:23">
      <c r="Q1964" s="275">
        <f t="shared" si="72"/>
        <v>1.8999999999999015</v>
      </c>
      <c r="R1964" s="276">
        <v>2</v>
      </c>
      <c r="S1964" s="533"/>
      <c r="T1964"/>
      <c r="U1964"/>
      <c r="V1964"/>
      <c r="W1964"/>
    </row>
    <row r="1965" spans="17:23">
      <c r="Q1965" s="275">
        <f t="shared" si="72"/>
        <v>1.9009999999999014</v>
      </c>
      <c r="R1965" s="276">
        <v>2</v>
      </c>
      <c r="S1965" s="533"/>
      <c r="T1965"/>
      <c r="U1965"/>
      <c r="V1965"/>
      <c r="W1965"/>
    </row>
    <row r="1966" spans="17:23">
      <c r="Q1966" s="275">
        <f t="shared" si="72"/>
        <v>1.9019999999999013</v>
      </c>
      <c r="R1966" s="276">
        <v>2</v>
      </c>
      <c r="S1966" s="533"/>
      <c r="T1966"/>
      <c r="U1966"/>
      <c r="V1966"/>
      <c r="W1966"/>
    </row>
    <row r="1967" spans="17:23">
      <c r="Q1967" s="275">
        <f t="shared" si="72"/>
        <v>1.9029999999999012</v>
      </c>
      <c r="R1967" s="276">
        <v>2</v>
      </c>
      <c r="S1967" s="533"/>
      <c r="T1967"/>
      <c r="U1967"/>
      <c r="V1967"/>
      <c r="W1967"/>
    </row>
    <row r="1968" spans="17:23">
      <c r="Q1968" s="275">
        <f t="shared" si="72"/>
        <v>1.9039999999999011</v>
      </c>
      <c r="R1968" s="276">
        <v>2</v>
      </c>
      <c r="S1968" s="533"/>
      <c r="T1968"/>
      <c r="U1968"/>
      <c r="V1968"/>
      <c r="W1968"/>
    </row>
    <row r="1969" spans="17:23">
      <c r="Q1969" s="275">
        <f t="shared" si="72"/>
        <v>1.904999999999901</v>
      </c>
      <c r="R1969" s="276">
        <v>2</v>
      </c>
      <c r="S1969" s="533"/>
      <c r="T1969"/>
      <c r="U1969"/>
      <c r="V1969"/>
      <c r="W1969"/>
    </row>
    <row r="1970" spans="17:23">
      <c r="Q1970" s="275">
        <f t="shared" si="72"/>
        <v>1.9059999999999009</v>
      </c>
      <c r="R1970" s="276">
        <v>2</v>
      </c>
      <c r="S1970" s="533"/>
      <c r="T1970"/>
      <c r="U1970"/>
      <c r="V1970"/>
      <c r="W1970"/>
    </row>
    <row r="1971" spans="17:23">
      <c r="Q1971" s="275">
        <f t="shared" si="72"/>
        <v>1.9069999999999008</v>
      </c>
      <c r="R1971" s="276">
        <v>2</v>
      </c>
      <c r="S1971" s="533"/>
      <c r="T1971"/>
      <c r="U1971"/>
      <c r="V1971"/>
      <c r="W1971"/>
    </row>
    <row r="1972" spans="17:23">
      <c r="Q1972" s="275">
        <f t="shared" si="72"/>
        <v>1.9079999999999007</v>
      </c>
      <c r="R1972" s="276">
        <v>2</v>
      </c>
      <c r="S1972" s="533"/>
      <c r="T1972"/>
      <c r="U1972"/>
      <c r="V1972"/>
      <c r="W1972"/>
    </row>
    <row r="1973" spans="17:23">
      <c r="Q1973" s="275">
        <f t="shared" si="72"/>
        <v>1.9089999999999006</v>
      </c>
      <c r="R1973" s="276">
        <v>2</v>
      </c>
      <c r="S1973" s="533"/>
      <c r="T1973"/>
      <c r="U1973"/>
      <c r="V1973"/>
      <c r="W1973"/>
    </row>
    <row r="1974" spans="17:23">
      <c r="Q1974" s="275">
        <f t="shared" si="72"/>
        <v>1.9099999999999004</v>
      </c>
      <c r="R1974" s="276">
        <v>2</v>
      </c>
      <c r="S1974" s="533"/>
      <c r="T1974"/>
      <c r="U1974"/>
      <c r="V1974"/>
      <c r="W1974"/>
    </row>
    <row r="1975" spans="17:23">
      <c r="Q1975" s="275">
        <f t="shared" si="72"/>
        <v>1.9109999999999003</v>
      </c>
      <c r="R1975" s="276">
        <v>2</v>
      </c>
      <c r="S1975" s="533"/>
      <c r="T1975"/>
      <c r="U1975"/>
      <c r="V1975"/>
      <c r="W1975"/>
    </row>
    <row r="1976" spans="17:23">
      <c r="Q1976" s="275">
        <f t="shared" si="72"/>
        <v>1.9119999999999002</v>
      </c>
      <c r="R1976" s="276">
        <v>2</v>
      </c>
      <c r="S1976" s="533"/>
      <c r="T1976"/>
      <c r="U1976"/>
      <c r="V1976"/>
      <c r="W1976"/>
    </row>
    <row r="1977" spans="17:23">
      <c r="Q1977" s="275">
        <f t="shared" si="72"/>
        <v>1.9129999999999001</v>
      </c>
      <c r="R1977" s="276">
        <v>2</v>
      </c>
      <c r="S1977" s="533"/>
      <c r="T1977"/>
      <c r="U1977"/>
      <c r="V1977"/>
      <c r="W1977"/>
    </row>
    <row r="1978" spans="17:23">
      <c r="Q1978" s="275">
        <f t="shared" si="72"/>
        <v>1.9139999999999</v>
      </c>
      <c r="R1978" s="276">
        <v>2</v>
      </c>
      <c r="S1978" s="533"/>
      <c r="T1978"/>
      <c r="U1978"/>
      <c r="V1978"/>
      <c r="W1978"/>
    </row>
    <row r="1979" spans="17:23">
      <c r="Q1979" s="275">
        <f t="shared" si="72"/>
        <v>1.9149999999998999</v>
      </c>
      <c r="R1979" s="276">
        <v>2</v>
      </c>
      <c r="S1979" s="533"/>
      <c r="T1979"/>
      <c r="U1979"/>
      <c r="V1979"/>
      <c r="W1979"/>
    </row>
    <row r="1980" spans="17:23">
      <c r="Q1980" s="275">
        <f t="shared" si="72"/>
        <v>1.9159999999998998</v>
      </c>
      <c r="R1980" s="276">
        <v>2</v>
      </c>
      <c r="S1980" s="533"/>
      <c r="T1980"/>
      <c r="U1980"/>
      <c r="V1980"/>
      <c r="W1980"/>
    </row>
    <row r="1981" spans="17:23">
      <c r="Q1981" s="275">
        <f t="shared" si="72"/>
        <v>1.9169999999998997</v>
      </c>
      <c r="R1981" s="276">
        <v>2</v>
      </c>
      <c r="S1981" s="533"/>
      <c r="T1981"/>
      <c r="U1981"/>
      <c r="V1981"/>
      <c r="W1981"/>
    </row>
    <row r="1982" spans="17:23">
      <c r="Q1982" s="275">
        <f t="shared" si="72"/>
        <v>1.9179999999998996</v>
      </c>
      <c r="R1982" s="276">
        <v>2</v>
      </c>
      <c r="S1982" s="533"/>
      <c r="T1982"/>
      <c r="U1982"/>
      <c r="V1982"/>
      <c r="W1982"/>
    </row>
    <row r="1983" spans="17:23">
      <c r="Q1983" s="275">
        <f t="shared" si="72"/>
        <v>1.9189999999998995</v>
      </c>
      <c r="R1983" s="276">
        <v>2</v>
      </c>
      <c r="S1983" s="533"/>
      <c r="T1983"/>
      <c r="U1983"/>
      <c r="V1983"/>
      <c r="W1983"/>
    </row>
    <row r="1984" spans="17:23">
      <c r="Q1984" s="275">
        <f t="shared" si="72"/>
        <v>1.9199999999998993</v>
      </c>
      <c r="R1984" s="276">
        <v>2</v>
      </c>
      <c r="S1984" s="533"/>
      <c r="T1984"/>
      <c r="U1984"/>
      <c r="V1984"/>
      <c r="W1984"/>
    </row>
    <row r="1985" spans="17:23">
      <c r="Q1985" s="275">
        <f t="shared" ref="Q1985:Q2037" si="73">Q1984+0.001</f>
        <v>1.9209999999998992</v>
      </c>
      <c r="R1985" s="276">
        <v>2</v>
      </c>
      <c r="S1985" s="533"/>
      <c r="T1985"/>
      <c r="U1985"/>
      <c r="V1985"/>
      <c r="W1985"/>
    </row>
    <row r="1986" spans="17:23">
      <c r="Q1986" s="275">
        <f t="shared" si="73"/>
        <v>1.9219999999998991</v>
      </c>
      <c r="R1986" s="276">
        <v>2</v>
      </c>
      <c r="S1986" s="533"/>
      <c r="T1986"/>
      <c r="U1986"/>
      <c r="V1986"/>
      <c r="W1986"/>
    </row>
    <row r="1987" spans="17:23">
      <c r="Q1987" s="275">
        <f t="shared" si="73"/>
        <v>1.922999999999899</v>
      </c>
      <c r="R1987" s="276">
        <v>2</v>
      </c>
      <c r="S1987" s="533"/>
      <c r="T1987"/>
      <c r="U1987"/>
      <c r="V1987"/>
      <c r="W1987"/>
    </row>
    <row r="1988" spans="17:23">
      <c r="Q1988" s="275">
        <f t="shared" si="73"/>
        <v>1.9239999999998989</v>
      </c>
      <c r="R1988" s="276">
        <v>2</v>
      </c>
      <c r="S1988" s="533"/>
      <c r="T1988"/>
      <c r="U1988"/>
      <c r="V1988"/>
      <c r="W1988"/>
    </row>
    <row r="1989" spans="17:23">
      <c r="Q1989" s="275">
        <f t="shared" si="73"/>
        <v>1.9249999999998988</v>
      </c>
      <c r="R1989" s="276">
        <v>2</v>
      </c>
      <c r="S1989" s="533"/>
      <c r="T1989"/>
      <c r="U1989"/>
      <c r="V1989"/>
      <c r="W1989"/>
    </row>
    <row r="1990" spans="17:23">
      <c r="Q1990" s="275">
        <f t="shared" si="73"/>
        <v>1.9259999999998987</v>
      </c>
      <c r="R1990" s="276">
        <v>2</v>
      </c>
      <c r="S1990" s="533"/>
      <c r="T1990"/>
      <c r="U1990"/>
      <c r="V1990"/>
      <c r="W1990"/>
    </row>
    <row r="1991" spans="17:23">
      <c r="Q1991" s="275">
        <f t="shared" si="73"/>
        <v>1.9269999999998986</v>
      </c>
      <c r="R1991" s="276">
        <v>2</v>
      </c>
      <c r="S1991" s="533"/>
      <c r="T1991"/>
      <c r="U1991"/>
      <c r="V1991"/>
      <c r="W1991"/>
    </row>
    <row r="1992" spans="17:23">
      <c r="Q1992" s="275">
        <f t="shared" si="73"/>
        <v>1.9279999999998985</v>
      </c>
      <c r="R1992" s="276">
        <v>2</v>
      </c>
      <c r="S1992" s="533"/>
      <c r="T1992"/>
      <c r="U1992"/>
      <c r="V1992"/>
      <c r="W1992"/>
    </row>
    <row r="1993" spans="17:23">
      <c r="Q1993" s="275">
        <f t="shared" si="73"/>
        <v>1.9289999999998984</v>
      </c>
      <c r="R1993" s="276">
        <v>2</v>
      </c>
      <c r="S1993" s="533"/>
      <c r="T1993"/>
      <c r="U1993"/>
      <c r="V1993"/>
      <c r="W1993"/>
    </row>
    <row r="1994" spans="17:23">
      <c r="Q1994" s="275">
        <f t="shared" si="73"/>
        <v>1.9299999999998982</v>
      </c>
      <c r="R1994" s="276">
        <v>2</v>
      </c>
      <c r="S1994" s="533"/>
      <c r="T1994"/>
      <c r="U1994"/>
      <c r="V1994"/>
      <c r="W1994"/>
    </row>
    <row r="1995" spans="17:23">
      <c r="Q1995" s="275">
        <f t="shared" si="73"/>
        <v>1.9309999999998981</v>
      </c>
      <c r="R1995" s="276">
        <v>2</v>
      </c>
      <c r="S1995" s="533"/>
      <c r="T1995"/>
      <c r="U1995"/>
      <c r="V1995"/>
      <c r="W1995"/>
    </row>
    <row r="1996" spans="17:23">
      <c r="Q1996" s="275">
        <f t="shared" si="73"/>
        <v>1.931999999999898</v>
      </c>
      <c r="R1996" s="276">
        <v>2</v>
      </c>
      <c r="S1996" s="533"/>
      <c r="T1996"/>
      <c r="U1996"/>
      <c r="V1996"/>
      <c r="W1996"/>
    </row>
    <row r="1997" spans="17:23">
      <c r="Q1997" s="275">
        <f t="shared" si="73"/>
        <v>1.9329999999998979</v>
      </c>
      <c r="R1997" s="276">
        <v>2</v>
      </c>
      <c r="S1997" s="533"/>
      <c r="T1997"/>
      <c r="U1997"/>
      <c r="V1997"/>
      <c r="W1997"/>
    </row>
    <row r="1998" spans="17:23">
      <c r="Q1998" s="275">
        <f t="shared" si="73"/>
        <v>1.9339999999998978</v>
      </c>
      <c r="R1998" s="276">
        <v>2</v>
      </c>
      <c r="S1998" s="533"/>
      <c r="T1998"/>
      <c r="U1998"/>
      <c r="V1998"/>
      <c r="W1998"/>
    </row>
    <row r="1999" spans="17:23">
      <c r="Q1999" s="275">
        <f t="shared" si="73"/>
        <v>1.9349999999998977</v>
      </c>
      <c r="R1999" s="276">
        <v>2</v>
      </c>
      <c r="S1999" s="533"/>
      <c r="T1999"/>
      <c r="U1999"/>
      <c r="V1999"/>
      <c r="W1999"/>
    </row>
    <row r="2000" spans="17:23">
      <c r="Q2000" s="275">
        <f t="shared" si="73"/>
        <v>1.9359999999998976</v>
      </c>
      <c r="R2000" s="276">
        <v>2</v>
      </c>
      <c r="S2000" s="533"/>
      <c r="T2000"/>
      <c r="U2000"/>
      <c r="V2000"/>
      <c r="W2000"/>
    </row>
    <row r="2001" spans="17:23">
      <c r="Q2001" s="275">
        <f t="shared" si="73"/>
        <v>1.9369999999998975</v>
      </c>
      <c r="R2001" s="276">
        <v>2</v>
      </c>
      <c r="S2001" s="533"/>
      <c r="T2001"/>
      <c r="U2001"/>
      <c r="V2001"/>
      <c r="W2001"/>
    </row>
    <row r="2002" spans="17:23">
      <c r="Q2002" s="275">
        <f t="shared" si="73"/>
        <v>1.9379999999998974</v>
      </c>
      <c r="R2002" s="276">
        <v>2</v>
      </c>
      <c r="S2002" s="533"/>
      <c r="T2002"/>
      <c r="U2002"/>
      <c r="V2002"/>
      <c r="W2002"/>
    </row>
    <row r="2003" spans="17:23">
      <c r="Q2003" s="275">
        <f t="shared" si="73"/>
        <v>1.9389999999998973</v>
      </c>
      <c r="R2003" s="276">
        <v>2</v>
      </c>
      <c r="S2003" s="533"/>
      <c r="T2003"/>
      <c r="U2003"/>
      <c r="V2003"/>
      <c r="W2003"/>
    </row>
    <row r="2004" spans="17:23">
      <c r="Q2004" s="275">
        <f t="shared" si="73"/>
        <v>1.9399999999998971</v>
      </c>
      <c r="R2004" s="276">
        <v>2</v>
      </c>
      <c r="S2004" s="533"/>
      <c r="T2004"/>
      <c r="U2004"/>
      <c r="V2004"/>
      <c r="W2004"/>
    </row>
    <row r="2005" spans="17:23">
      <c r="Q2005" s="275">
        <f t="shared" si="73"/>
        <v>1.940999999999897</v>
      </c>
      <c r="R2005" s="276">
        <v>2</v>
      </c>
      <c r="S2005" s="533"/>
      <c r="T2005"/>
      <c r="U2005"/>
      <c r="V2005"/>
      <c r="W2005"/>
    </row>
    <row r="2006" spans="17:23">
      <c r="Q2006" s="275">
        <f t="shared" si="73"/>
        <v>1.9419999999998969</v>
      </c>
      <c r="R2006" s="276">
        <v>2</v>
      </c>
      <c r="S2006" s="533"/>
      <c r="T2006"/>
      <c r="U2006"/>
      <c r="V2006"/>
      <c r="W2006"/>
    </row>
    <row r="2007" spans="17:23">
      <c r="Q2007" s="275">
        <f t="shared" si="73"/>
        <v>1.9429999999998968</v>
      </c>
      <c r="R2007" s="276">
        <v>2</v>
      </c>
      <c r="S2007" s="533"/>
      <c r="T2007"/>
      <c r="U2007"/>
      <c r="V2007"/>
      <c r="W2007"/>
    </row>
    <row r="2008" spans="17:23">
      <c r="Q2008" s="275">
        <f t="shared" si="73"/>
        <v>1.9439999999998967</v>
      </c>
      <c r="R2008" s="276">
        <v>2</v>
      </c>
      <c r="S2008" s="533"/>
      <c r="T2008"/>
      <c r="U2008"/>
      <c r="V2008"/>
      <c r="W2008"/>
    </row>
    <row r="2009" spans="17:23">
      <c r="Q2009" s="275">
        <f t="shared" si="73"/>
        <v>1.9449999999998966</v>
      </c>
      <c r="R2009" s="276">
        <v>2</v>
      </c>
      <c r="S2009" s="533"/>
      <c r="T2009"/>
      <c r="U2009"/>
      <c r="V2009"/>
      <c r="W2009"/>
    </row>
    <row r="2010" spans="17:23">
      <c r="Q2010" s="275">
        <f t="shared" si="73"/>
        <v>1.9459999999998965</v>
      </c>
      <c r="R2010" s="276">
        <v>2</v>
      </c>
      <c r="S2010" s="533"/>
      <c r="T2010"/>
      <c r="U2010"/>
      <c r="V2010"/>
      <c r="W2010"/>
    </row>
    <row r="2011" spans="17:23">
      <c r="Q2011" s="275">
        <f t="shared" si="73"/>
        <v>1.9469999999998964</v>
      </c>
      <c r="R2011" s="276">
        <v>2</v>
      </c>
      <c r="S2011" s="533"/>
      <c r="T2011"/>
      <c r="U2011"/>
      <c r="V2011"/>
      <c r="W2011"/>
    </row>
    <row r="2012" spans="17:23">
      <c r="Q2012" s="275">
        <f t="shared" si="73"/>
        <v>1.9479999999998963</v>
      </c>
      <c r="R2012" s="276">
        <v>2</v>
      </c>
      <c r="S2012" s="533"/>
      <c r="T2012"/>
      <c r="U2012"/>
      <c r="V2012"/>
      <c r="W2012"/>
    </row>
    <row r="2013" spans="17:23">
      <c r="Q2013" s="275">
        <f t="shared" si="73"/>
        <v>1.9489999999998961</v>
      </c>
      <c r="R2013" s="276">
        <v>2</v>
      </c>
      <c r="S2013" s="533"/>
      <c r="T2013"/>
      <c r="U2013"/>
      <c r="V2013"/>
      <c r="W2013"/>
    </row>
    <row r="2014" spans="17:23">
      <c r="Q2014" s="275">
        <f t="shared" si="73"/>
        <v>1.949999999999896</v>
      </c>
      <c r="R2014" s="276">
        <v>2</v>
      </c>
      <c r="S2014" s="533"/>
      <c r="T2014"/>
      <c r="U2014"/>
      <c r="V2014"/>
      <c r="W2014"/>
    </row>
    <row r="2015" spans="17:23">
      <c r="Q2015" s="275">
        <f t="shared" si="73"/>
        <v>1.9509999999998959</v>
      </c>
      <c r="R2015" s="276">
        <v>2</v>
      </c>
      <c r="S2015" s="533"/>
      <c r="T2015"/>
      <c r="U2015"/>
      <c r="V2015"/>
      <c r="W2015"/>
    </row>
    <row r="2016" spans="17:23">
      <c r="Q2016" s="275">
        <f t="shared" si="73"/>
        <v>1.9519999999998958</v>
      </c>
      <c r="R2016" s="276">
        <v>2</v>
      </c>
      <c r="S2016" s="533"/>
      <c r="T2016"/>
      <c r="U2016"/>
      <c r="V2016"/>
      <c r="W2016"/>
    </row>
    <row r="2017" spans="17:23">
      <c r="Q2017" s="275">
        <f t="shared" si="73"/>
        <v>1.9529999999998957</v>
      </c>
      <c r="R2017" s="276">
        <v>2</v>
      </c>
      <c r="S2017" s="533"/>
      <c r="T2017"/>
      <c r="U2017"/>
      <c r="V2017"/>
      <c r="W2017"/>
    </row>
    <row r="2018" spans="17:23">
      <c r="Q2018" s="275">
        <f t="shared" si="73"/>
        <v>1.9539999999998956</v>
      </c>
      <c r="R2018" s="276">
        <v>2</v>
      </c>
      <c r="S2018" s="533"/>
      <c r="T2018"/>
      <c r="U2018"/>
      <c r="V2018"/>
      <c r="W2018"/>
    </row>
    <row r="2019" spans="17:23">
      <c r="Q2019" s="275">
        <f t="shared" si="73"/>
        <v>1.9549999999998955</v>
      </c>
      <c r="R2019" s="276">
        <v>2</v>
      </c>
      <c r="S2019" s="533"/>
      <c r="T2019"/>
      <c r="U2019"/>
      <c r="V2019"/>
      <c r="W2019"/>
    </row>
    <row r="2020" spans="17:23">
      <c r="Q2020" s="275">
        <f t="shared" si="73"/>
        <v>1.9559999999998954</v>
      </c>
      <c r="R2020" s="276">
        <v>2</v>
      </c>
      <c r="S2020" s="533"/>
      <c r="T2020"/>
      <c r="U2020"/>
      <c r="V2020"/>
      <c r="W2020"/>
    </row>
    <row r="2021" spans="17:23">
      <c r="Q2021" s="275">
        <f t="shared" si="73"/>
        <v>1.9569999999998953</v>
      </c>
      <c r="R2021" s="276">
        <v>2</v>
      </c>
      <c r="S2021" s="533"/>
      <c r="T2021"/>
      <c r="U2021"/>
      <c r="V2021"/>
      <c r="W2021"/>
    </row>
    <row r="2022" spans="17:23">
      <c r="Q2022" s="275">
        <f t="shared" si="73"/>
        <v>1.9579999999998952</v>
      </c>
      <c r="R2022" s="276">
        <v>2</v>
      </c>
      <c r="S2022" s="533"/>
      <c r="T2022"/>
      <c r="U2022"/>
      <c r="V2022"/>
      <c r="W2022"/>
    </row>
    <row r="2023" spans="17:23">
      <c r="Q2023" s="275">
        <f t="shared" si="73"/>
        <v>1.958999999999895</v>
      </c>
      <c r="R2023" s="276">
        <v>2</v>
      </c>
      <c r="S2023" s="533"/>
      <c r="T2023"/>
      <c r="U2023"/>
      <c r="V2023"/>
      <c r="W2023"/>
    </row>
    <row r="2024" spans="17:23">
      <c r="Q2024" s="275">
        <f t="shared" si="73"/>
        <v>1.9599999999998949</v>
      </c>
      <c r="R2024" s="276">
        <v>2</v>
      </c>
      <c r="S2024" s="533"/>
      <c r="T2024"/>
      <c r="U2024"/>
      <c r="V2024"/>
      <c r="W2024"/>
    </row>
    <row r="2025" spans="17:23">
      <c r="Q2025" s="275">
        <f t="shared" si="73"/>
        <v>1.9609999999998948</v>
      </c>
      <c r="R2025" s="276">
        <v>2</v>
      </c>
      <c r="S2025" s="533"/>
      <c r="T2025"/>
      <c r="U2025"/>
      <c r="V2025"/>
      <c r="W2025"/>
    </row>
    <row r="2026" spans="17:23">
      <c r="Q2026" s="275">
        <f t="shared" si="73"/>
        <v>1.9619999999998947</v>
      </c>
      <c r="R2026" s="276">
        <v>2</v>
      </c>
      <c r="S2026" s="533"/>
      <c r="T2026"/>
      <c r="U2026"/>
      <c r="V2026"/>
      <c r="W2026"/>
    </row>
    <row r="2027" spans="17:23">
      <c r="Q2027" s="275">
        <f t="shared" si="73"/>
        <v>1.9629999999998946</v>
      </c>
      <c r="R2027" s="276">
        <v>2</v>
      </c>
      <c r="S2027" s="533"/>
      <c r="T2027"/>
      <c r="U2027"/>
      <c r="V2027"/>
      <c r="W2027"/>
    </row>
    <row r="2028" spans="17:23">
      <c r="Q2028" s="275">
        <f t="shared" si="73"/>
        <v>1.9639999999998945</v>
      </c>
      <c r="R2028" s="276">
        <v>2</v>
      </c>
      <c r="S2028" s="533"/>
      <c r="T2028"/>
      <c r="U2028"/>
      <c r="V2028"/>
      <c r="W2028"/>
    </row>
    <row r="2029" spans="17:23">
      <c r="Q2029" s="275">
        <f t="shared" si="73"/>
        <v>1.9649999999998944</v>
      </c>
      <c r="R2029" s="276">
        <v>2</v>
      </c>
      <c r="S2029" s="533"/>
      <c r="T2029"/>
      <c r="U2029"/>
      <c r="V2029"/>
      <c r="W2029"/>
    </row>
    <row r="2030" spans="17:23">
      <c r="Q2030" s="275">
        <f t="shared" si="73"/>
        <v>1.9659999999998943</v>
      </c>
      <c r="R2030" s="276">
        <v>2</v>
      </c>
      <c r="S2030" s="533"/>
      <c r="T2030"/>
      <c r="U2030"/>
      <c r="V2030"/>
      <c r="W2030"/>
    </row>
    <row r="2031" spans="17:23">
      <c r="Q2031" s="275">
        <f t="shared" si="73"/>
        <v>1.9669999999998942</v>
      </c>
      <c r="R2031" s="276">
        <v>2</v>
      </c>
      <c r="S2031" s="533"/>
      <c r="T2031"/>
      <c r="U2031"/>
      <c r="V2031"/>
      <c r="W2031"/>
    </row>
    <row r="2032" spans="17:23">
      <c r="Q2032" s="275">
        <f t="shared" si="73"/>
        <v>1.9679999999998941</v>
      </c>
      <c r="R2032" s="276">
        <v>2</v>
      </c>
      <c r="S2032" s="533"/>
      <c r="T2032"/>
      <c r="U2032"/>
      <c r="V2032"/>
      <c r="W2032"/>
    </row>
    <row r="2033" spans="17:23">
      <c r="Q2033" s="275">
        <f t="shared" si="73"/>
        <v>1.9689999999998939</v>
      </c>
      <c r="R2033" s="276">
        <v>2</v>
      </c>
      <c r="S2033" s="533"/>
      <c r="T2033"/>
      <c r="U2033"/>
      <c r="V2033"/>
      <c r="W2033"/>
    </row>
    <row r="2034" spans="17:23">
      <c r="Q2034" s="275">
        <f t="shared" si="73"/>
        <v>1.9699999999998938</v>
      </c>
      <c r="R2034" s="276">
        <v>2</v>
      </c>
      <c r="S2034" s="533"/>
      <c r="T2034"/>
      <c r="U2034"/>
      <c r="V2034"/>
      <c r="W2034"/>
    </row>
    <row r="2035" spans="17:23">
      <c r="Q2035" s="275">
        <f t="shared" si="73"/>
        <v>1.9709999999998937</v>
      </c>
      <c r="R2035" s="276">
        <v>2</v>
      </c>
      <c r="S2035" s="533"/>
      <c r="T2035"/>
      <c r="U2035"/>
      <c r="V2035"/>
      <c r="W2035"/>
    </row>
    <row r="2036" spans="17:23">
      <c r="Q2036" s="275">
        <f t="shared" si="73"/>
        <v>1.9719999999998936</v>
      </c>
      <c r="R2036" s="276">
        <v>2</v>
      </c>
      <c r="S2036" s="533"/>
      <c r="T2036"/>
      <c r="U2036"/>
      <c r="V2036"/>
      <c r="W2036"/>
    </row>
    <row r="2037" spans="17:23">
      <c r="Q2037" s="275">
        <f t="shared" si="73"/>
        <v>1.9729999999998935</v>
      </c>
      <c r="R2037" s="276">
        <v>2</v>
      </c>
      <c r="S2037" s="533"/>
      <c r="T2037"/>
      <c r="U2037"/>
      <c r="V2037"/>
      <c r="W2037"/>
    </row>
    <row r="2038" spans="17:23">
      <c r="Q2038" s="214"/>
    </row>
    <row r="2039" spans="17:23">
      <c r="Q2039" s="214"/>
    </row>
    <row r="2040" spans="17:23">
      <c r="Q2040" s="214"/>
    </row>
    <row r="2041" spans="17:23">
      <c r="Q2041" s="214"/>
    </row>
    <row r="2042" spans="17:23">
      <c r="Q2042" s="214"/>
    </row>
    <row r="2043" spans="17:23">
      <c r="Q2043" s="214"/>
    </row>
    <row r="2044" spans="17:23">
      <c r="Q2044" s="214"/>
    </row>
    <row r="2045" spans="17:23">
      <c r="Q2045" s="214"/>
    </row>
    <row r="2046" spans="17:23">
      <c r="Q2046" s="214"/>
    </row>
    <row r="2047" spans="17:23">
      <c r="Q2047" s="214"/>
    </row>
    <row r="2048" spans="17:23">
      <c r="Q2048" s="214"/>
    </row>
    <row r="2049" spans="17:17">
      <c r="Q2049" s="214"/>
    </row>
    <row r="2050" spans="17:17">
      <c r="Q2050" s="214"/>
    </row>
    <row r="2051" spans="17:17">
      <c r="Q2051" s="214"/>
    </row>
    <row r="2052" spans="17:17">
      <c r="Q2052" s="214"/>
    </row>
    <row r="2053" spans="17:17">
      <c r="Q2053" s="214"/>
    </row>
    <row r="2054" spans="17:17">
      <c r="Q2054" s="214"/>
    </row>
    <row r="2055" spans="17:17">
      <c r="Q2055" s="214"/>
    </row>
    <row r="2056" spans="17:17">
      <c r="Q2056" s="214"/>
    </row>
    <row r="2057" spans="17:17">
      <c r="Q2057" s="214"/>
    </row>
    <row r="2058" spans="17:17">
      <c r="Q2058" s="214"/>
    </row>
    <row r="2059" spans="17:17">
      <c r="Q2059" s="214"/>
    </row>
    <row r="2060" spans="17:17">
      <c r="Q2060" s="214"/>
    </row>
    <row r="2061" spans="17:17">
      <c r="Q2061" s="214"/>
    </row>
    <row r="2062" spans="17:17">
      <c r="Q2062" s="214"/>
    </row>
    <row r="2063" spans="17:17">
      <c r="Q2063" s="214"/>
    </row>
    <row r="2064" spans="17:17">
      <c r="Q2064" s="214"/>
    </row>
    <row r="2065" spans="17:17">
      <c r="Q2065" s="214"/>
    </row>
    <row r="2066" spans="17:17">
      <c r="Q2066" s="214"/>
    </row>
    <row r="2067" spans="17:17">
      <c r="Q2067" s="214"/>
    </row>
    <row r="2068" spans="17:17">
      <c r="Q2068" s="214"/>
    </row>
    <row r="2069" spans="17:17">
      <c r="Q2069" s="214"/>
    </row>
    <row r="2070" spans="17:17">
      <c r="Q2070" s="214"/>
    </row>
    <row r="2071" spans="17:17">
      <c r="Q2071" s="214"/>
    </row>
    <row r="2072" spans="17:17">
      <c r="Q2072" s="214"/>
    </row>
    <row r="2073" spans="17:17">
      <c r="Q2073" s="214"/>
    </row>
    <row r="2074" spans="17:17">
      <c r="Q2074" s="214"/>
    </row>
    <row r="2075" spans="17:17">
      <c r="Q2075" s="214"/>
    </row>
    <row r="2076" spans="17:17">
      <c r="Q2076" s="214"/>
    </row>
    <row r="2077" spans="17:17">
      <c r="Q2077" s="214"/>
    </row>
    <row r="2078" spans="17:17">
      <c r="Q2078" s="214"/>
    </row>
    <row r="2079" spans="17:17">
      <c r="Q2079" s="214"/>
    </row>
    <row r="2080" spans="17:17">
      <c r="Q2080" s="214"/>
    </row>
    <row r="2081" spans="17:17">
      <c r="Q2081" s="214"/>
    </row>
    <row r="2082" spans="17:17">
      <c r="Q2082" s="214"/>
    </row>
    <row r="2083" spans="17:17">
      <c r="Q2083" s="214"/>
    </row>
    <row r="2084" spans="17:17">
      <c r="Q2084" s="214"/>
    </row>
    <row r="2085" spans="17:17">
      <c r="Q2085" s="214"/>
    </row>
    <row r="2086" spans="17:17">
      <c r="Q2086" s="214"/>
    </row>
    <row r="2087" spans="17:17">
      <c r="Q2087" s="214"/>
    </row>
    <row r="2088" spans="17:17">
      <c r="Q2088" s="214"/>
    </row>
    <row r="2089" spans="17:17">
      <c r="Q2089" s="214"/>
    </row>
    <row r="2090" spans="17:17">
      <c r="Q2090" s="214"/>
    </row>
    <row r="2091" spans="17:17">
      <c r="Q2091" s="214"/>
    </row>
    <row r="2092" spans="17:17">
      <c r="Q2092" s="214"/>
    </row>
    <row r="2093" spans="17:17">
      <c r="Q2093" s="214"/>
    </row>
    <row r="2094" spans="17:17">
      <c r="Q2094" s="214"/>
    </row>
    <row r="2095" spans="17:17">
      <c r="Q2095" s="214"/>
    </row>
    <row r="2096" spans="17:17">
      <c r="Q2096" s="214"/>
    </row>
    <row r="2097" spans="17:17">
      <c r="Q2097" s="214"/>
    </row>
    <row r="2098" spans="17:17">
      <c r="Q2098" s="214"/>
    </row>
    <row r="2099" spans="17:17">
      <c r="Q2099" s="214"/>
    </row>
    <row r="2100" spans="17:17">
      <c r="Q2100" s="214"/>
    </row>
    <row r="2101" spans="17:17">
      <c r="Q2101" s="214"/>
    </row>
    <row r="2102" spans="17:17">
      <c r="Q2102" s="214"/>
    </row>
    <row r="2103" spans="17:17">
      <c r="Q2103" s="214"/>
    </row>
    <row r="2104" spans="17:17">
      <c r="Q2104" s="214"/>
    </row>
    <row r="2105" spans="17:17">
      <c r="Q2105" s="214"/>
    </row>
    <row r="2106" spans="17:17">
      <c r="Q2106" s="214"/>
    </row>
    <row r="2107" spans="17:17">
      <c r="Q2107" s="214"/>
    </row>
    <row r="2108" spans="17:17">
      <c r="Q2108" s="214"/>
    </row>
    <row r="2109" spans="17:17">
      <c r="Q2109" s="214"/>
    </row>
    <row r="2110" spans="17:17">
      <c r="Q2110" s="214"/>
    </row>
    <row r="2111" spans="17:17">
      <c r="Q2111" s="214"/>
    </row>
    <row r="2112" spans="17:17">
      <c r="Q2112" s="214"/>
    </row>
    <row r="2113" spans="17:17">
      <c r="Q2113" s="214"/>
    </row>
    <row r="2114" spans="17:17">
      <c r="Q2114" s="214"/>
    </row>
    <row r="2115" spans="17:17">
      <c r="Q2115" s="214"/>
    </row>
    <row r="2116" spans="17:17">
      <c r="Q2116" s="214"/>
    </row>
    <row r="2117" spans="17:17">
      <c r="Q2117" s="214"/>
    </row>
    <row r="2118" spans="17:17">
      <c r="Q2118" s="214"/>
    </row>
    <row r="2119" spans="17:17">
      <c r="Q2119" s="214"/>
    </row>
    <row r="2120" spans="17:17">
      <c r="Q2120" s="214"/>
    </row>
    <row r="2121" spans="17:17">
      <c r="Q2121" s="214"/>
    </row>
    <row r="2122" spans="17:17">
      <c r="Q2122" s="214"/>
    </row>
    <row r="2123" spans="17:17">
      <c r="Q2123" s="214"/>
    </row>
    <row r="2124" spans="17:17">
      <c r="Q2124" s="214"/>
    </row>
    <row r="2125" spans="17:17">
      <c r="Q2125" s="214"/>
    </row>
    <row r="2126" spans="17:17">
      <c r="Q2126" s="214"/>
    </row>
    <row r="2127" spans="17:17">
      <c r="Q2127" s="214"/>
    </row>
    <row r="2128" spans="17:17">
      <c r="Q2128" s="214"/>
    </row>
    <row r="2129" spans="17:17">
      <c r="Q2129" s="214"/>
    </row>
    <row r="2130" spans="17:17">
      <c r="Q2130" s="214"/>
    </row>
    <row r="2131" spans="17:17">
      <c r="Q2131" s="214"/>
    </row>
    <row r="2132" spans="17:17">
      <c r="Q2132" s="214"/>
    </row>
    <row r="2133" spans="17:17">
      <c r="Q2133" s="214"/>
    </row>
    <row r="2134" spans="17:17">
      <c r="Q2134" s="214"/>
    </row>
    <row r="2135" spans="17:17">
      <c r="Q2135" s="214"/>
    </row>
    <row r="2136" spans="17:17">
      <c r="Q2136" s="214"/>
    </row>
    <row r="2137" spans="17:17">
      <c r="Q2137" s="214"/>
    </row>
    <row r="2138" spans="17:17">
      <c r="Q2138" s="214"/>
    </row>
    <row r="2139" spans="17:17">
      <c r="Q2139" s="214"/>
    </row>
    <row r="2140" spans="17:17">
      <c r="Q2140" s="214"/>
    </row>
    <row r="2141" spans="17:17">
      <c r="Q2141" s="214"/>
    </row>
    <row r="2142" spans="17:17">
      <c r="Q2142" s="214"/>
    </row>
    <row r="2143" spans="17:17">
      <c r="Q2143" s="214"/>
    </row>
    <row r="2144" spans="17:17">
      <c r="Q2144" s="214"/>
    </row>
    <row r="2145" spans="17:17">
      <c r="Q2145" s="214"/>
    </row>
    <row r="2146" spans="17:17">
      <c r="Q2146" s="214"/>
    </row>
    <row r="2147" spans="17:17">
      <c r="Q2147" s="214"/>
    </row>
    <row r="2148" spans="17:17">
      <c r="Q2148" s="214"/>
    </row>
    <row r="2149" spans="17:17">
      <c r="Q2149" s="214"/>
    </row>
    <row r="2150" spans="17:17">
      <c r="Q2150" s="214"/>
    </row>
    <row r="2151" spans="17:17">
      <c r="Q2151" s="214"/>
    </row>
    <row r="2152" spans="17:17">
      <c r="Q2152" s="214"/>
    </row>
    <row r="2153" spans="17:17">
      <c r="Q2153" s="214"/>
    </row>
    <row r="2154" spans="17:17">
      <c r="Q2154" s="214"/>
    </row>
    <row r="2155" spans="17:17">
      <c r="Q2155" s="214"/>
    </row>
    <row r="2156" spans="17:17">
      <c r="Q2156" s="214"/>
    </row>
    <row r="2157" spans="17:17">
      <c r="Q2157" s="214"/>
    </row>
    <row r="2158" spans="17:17">
      <c r="Q2158" s="214"/>
    </row>
    <row r="2159" spans="17:17">
      <c r="Q2159" s="214"/>
    </row>
    <row r="2160" spans="17:17">
      <c r="Q2160" s="214"/>
    </row>
    <row r="2161" spans="17:17">
      <c r="Q2161" s="214"/>
    </row>
    <row r="2162" spans="17:17">
      <c r="Q2162" s="214"/>
    </row>
    <row r="2163" spans="17:17">
      <c r="Q2163" s="214"/>
    </row>
    <row r="2164" spans="17:17">
      <c r="Q2164" s="214"/>
    </row>
    <row r="2165" spans="17:17">
      <c r="Q2165" s="214"/>
    </row>
    <row r="2166" spans="17:17">
      <c r="Q2166" s="214"/>
    </row>
    <row r="2167" spans="17:17">
      <c r="Q2167" s="214"/>
    </row>
    <row r="2168" spans="17:17">
      <c r="Q2168" s="214"/>
    </row>
    <row r="2169" spans="17:17">
      <c r="Q2169" s="214"/>
    </row>
    <row r="2170" spans="17:17">
      <c r="Q2170" s="214"/>
    </row>
    <row r="2171" spans="17:17">
      <c r="Q2171" s="214"/>
    </row>
    <row r="2172" spans="17:17">
      <c r="Q2172" s="214"/>
    </row>
    <row r="2173" spans="17:17">
      <c r="Q2173" s="214"/>
    </row>
    <row r="2174" spans="17:17">
      <c r="Q2174" s="214"/>
    </row>
    <row r="2175" spans="17:17">
      <c r="Q2175" s="214"/>
    </row>
    <row r="2176" spans="17:17">
      <c r="Q2176" s="214"/>
    </row>
    <row r="2177" spans="17:17">
      <c r="Q2177" s="214"/>
    </row>
    <row r="2178" spans="17:17">
      <c r="Q2178" s="214"/>
    </row>
    <row r="2179" spans="17:17">
      <c r="Q2179" s="214"/>
    </row>
    <row r="2180" spans="17:17">
      <c r="Q2180" s="214"/>
    </row>
    <row r="2181" spans="17:17">
      <c r="Q2181" s="214"/>
    </row>
    <row r="2182" spans="17:17">
      <c r="Q2182" s="214"/>
    </row>
    <row r="2183" spans="17:17">
      <c r="Q2183" s="214"/>
    </row>
    <row r="2184" spans="17:17">
      <c r="Q2184" s="214"/>
    </row>
    <row r="2185" spans="17:17">
      <c r="Q2185" s="214"/>
    </row>
    <row r="2186" spans="17:17">
      <c r="Q2186" s="214"/>
    </row>
    <row r="2187" spans="17:17">
      <c r="Q2187" s="214"/>
    </row>
    <row r="2188" spans="17:17">
      <c r="Q2188" s="214"/>
    </row>
    <row r="2189" spans="17:17">
      <c r="Q2189" s="214"/>
    </row>
    <row r="2190" spans="17:17">
      <c r="Q2190" s="214"/>
    </row>
    <row r="2191" spans="17:17">
      <c r="Q2191" s="214"/>
    </row>
    <row r="2192" spans="17:17">
      <c r="Q2192" s="214"/>
    </row>
    <row r="2193" spans="17:17">
      <c r="Q2193" s="214"/>
    </row>
    <row r="2194" spans="17:17">
      <c r="Q2194" s="214"/>
    </row>
    <row r="2195" spans="17:17">
      <c r="Q2195" s="214"/>
    </row>
    <row r="2196" spans="17:17">
      <c r="Q2196" s="214"/>
    </row>
    <row r="2197" spans="17:17">
      <c r="Q2197" s="214"/>
    </row>
    <row r="2198" spans="17:17">
      <c r="Q2198" s="214"/>
    </row>
    <row r="2199" spans="17:17">
      <c r="Q2199" s="214"/>
    </row>
    <row r="2200" spans="17:17">
      <c r="Q2200" s="214"/>
    </row>
    <row r="2201" spans="17:17">
      <c r="Q2201" s="214"/>
    </row>
    <row r="2202" spans="17:17">
      <c r="Q2202" s="214"/>
    </row>
    <row r="2203" spans="17:17">
      <c r="Q2203" s="214"/>
    </row>
    <row r="2204" spans="17:17">
      <c r="Q2204" s="214"/>
    </row>
    <row r="2205" spans="17:17">
      <c r="Q2205" s="214"/>
    </row>
    <row r="2206" spans="17:17">
      <c r="Q2206" s="214"/>
    </row>
    <row r="2207" spans="17:17">
      <c r="Q2207" s="214"/>
    </row>
    <row r="2208" spans="17:17">
      <c r="Q2208" s="214"/>
    </row>
    <row r="2209" spans="17:17">
      <c r="Q2209" s="214"/>
    </row>
    <row r="2210" spans="17:17">
      <c r="Q2210" s="214"/>
    </row>
    <row r="2211" spans="17:17">
      <c r="Q2211" s="214"/>
    </row>
    <row r="2212" spans="17:17">
      <c r="Q2212" s="214"/>
    </row>
    <row r="2213" spans="17:17">
      <c r="Q2213" s="214"/>
    </row>
    <row r="2214" spans="17:17">
      <c r="Q2214" s="214"/>
    </row>
    <row r="2215" spans="17:17">
      <c r="Q2215" s="214"/>
    </row>
    <row r="2216" spans="17:17">
      <c r="Q2216" s="214"/>
    </row>
    <row r="2217" spans="17:17">
      <c r="Q2217" s="214"/>
    </row>
    <row r="2218" spans="17:17">
      <c r="Q2218" s="214"/>
    </row>
    <row r="2219" spans="17:17">
      <c r="Q2219" s="214"/>
    </row>
    <row r="2220" spans="17:17">
      <c r="Q2220" s="214"/>
    </row>
    <row r="2221" spans="17:17">
      <c r="Q2221" s="214"/>
    </row>
    <row r="2222" spans="17:17">
      <c r="Q2222" s="214"/>
    </row>
    <row r="2223" spans="17:17">
      <c r="Q2223" s="214"/>
    </row>
    <row r="2224" spans="17:17">
      <c r="Q2224" s="214"/>
    </row>
    <row r="2225" spans="17:17">
      <c r="Q2225" s="214"/>
    </row>
    <row r="2226" spans="17:17">
      <c r="Q2226" s="214"/>
    </row>
    <row r="2227" spans="17:17">
      <c r="Q2227" s="214"/>
    </row>
    <row r="2228" spans="17:17">
      <c r="Q2228" s="214"/>
    </row>
    <row r="2229" spans="17:17">
      <c r="Q2229" s="214"/>
    </row>
    <row r="2230" spans="17:17">
      <c r="Q2230" s="214"/>
    </row>
    <row r="2231" spans="17:17">
      <c r="Q2231" s="214"/>
    </row>
    <row r="2232" spans="17:17">
      <c r="Q2232" s="214"/>
    </row>
    <row r="2233" spans="17:17">
      <c r="Q2233" s="214"/>
    </row>
    <row r="2234" spans="17:17">
      <c r="Q2234" s="214"/>
    </row>
  </sheetData>
  <sheetProtection algorithmName="SHA-512" hashValue="5U1TctOt6LKFuw44ykZwkQR1/GaxHFSb+FZkwp44e4+XWrmlFsbqaONtX3hHGrjuxARM4eiHTMhnqyYUC8MITw==" saltValue="cs3qbBfJlQSIZD2n8monqg==" spinCount="100000" sheet="1" objects="1" scenarios="1"/>
  <mergeCells count="29">
    <mergeCell ref="A1:J1"/>
    <mergeCell ref="K1:N1"/>
    <mergeCell ref="C2:D2"/>
    <mergeCell ref="E2:E5"/>
    <mergeCell ref="A3:A6"/>
    <mergeCell ref="G6:J6"/>
    <mergeCell ref="A7:F7"/>
    <mergeCell ref="A8:B8"/>
    <mergeCell ref="C8:D8"/>
    <mergeCell ref="E8:F8"/>
    <mergeCell ref="C14:F14"/>
    <mergeCell ref="G17:J18"/>
    <mergeCell ref="A20:M20"/>
    <mergeCell ref="A21:A22"/>
    <mergeCell ref="J21:L21"/>
    <mergeCell ref="N21:O21"/>
    <mergeCell ref="P21:Q21"/>
    <mergeCell ref="R21:S21"/>
    <mergeCell ref="T21:U21"/>
    <mergeCell ref="A35:A36"/>
    <mergeCell ref="J35:L35"/>
    <mergeCell ref="D66:E66"/>
    <mergeCell ref="D67:E67"/>
    <mergeCell ref="A68:C68"/>
    <mergeCell ref="G50:H50"/>
    <mergeCell ref="I50:J50"/>
    <mergeCell ref="F54:G54"/>
    <mergeCell ref="I54:J54"/>
    <mergeCell ref="D65:E65"/>
  </mergeCells>
  <dataValidations count="3">
    <dataValidation type="list" allowBlank="1" showInputMessage="1" showErrorMessage="1" sqref="C14" xr:uid="{00000000-0002-0000-0D00-000000000000}">
      <formula1>$F$3:$F$5</formula1>
      <formula2>0</formula2>
    </dataValidation>
    <dataValidation type="list" allowBlank="1" showInputMessage="1" showErrorMessage="1" sqref="G51" xr:uid="{00000000-0002-0000-0D00-000001000000}">
      <formula1>$N$4:$N$16</formula1>
      <formula2>0</formula2>
    </dataValidation>
    <dataValidation type="list" allowBlank="1" showInputMessage="1" showErrorMessage="1" sqref="G53" xr:uid="{00000000-0002-0000-0D00-000002000000}">
      <formula1>$N$2:$N$16</formula1>
      <formula2>0</formula2>
    </dataValidation>
  </dataValidations>
  <pageMargins left="0.7" right="0.7" top="0.75" bottom="0.75" header="0.51180555555555496" footer="0.51180555555555496"/>
  <pageSetup firstPageNumber="0" orientation="portrait" horizontalDpi="300" verticalDpi="3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3">
    <tabColor theme="4" tint="-0.499984740745262"/>
  </sheetPr>
  <dimension ref="B1:K50"/>
  <sheetViews>
    <sheetView showGridLines="0" showRowColHeaders="0" zoomScaleNormal="100" workbookViewId="0">
      <selection activeCell="P40" sqref="P40"/>
    </sheetView>
  </sheetViews>
  <sheetFormatPr baseColWidth="10" defaultColWidth="9.140625" defaultRowHeight="15"/>
  <cols>
    <col min="1" max="1" width="2.42578125" customWidth="1"/>
    <col min="2" max="2" width="5.42578125" customWidth="1"/>
    <col min="3" max="3" width="3.85546875" customWidth="1"/>
    <col min="4" max="4" width="13.140625" style="144" customWidth="1"/>
    <col min="5" max="5" width="15.7109375" style="144" customWidth="1"/>
    <col min="6" max="6" width="12.7109375" style="144" customWidth="1"/>
    <col min="7" max="7" width="14" style="144" customWidth="1"/>
    <col min="8" max="8" width="12.85546875" customWidth="1"/>
    <col min="9" max="9" width="15.28515625" customWidth="1"/>
    <col min="10" max="10" width="3.42578125" customWidth="1"/>
    <col min="11" max="11" width="35.28515625" customWidth="1"/>
    <col min="12" max="1025" width="10.42578125" customWidth="1"/>
  </cols>
  <sheetData>
    <row r="1" spans="2:11" ht="15.75">
      <c r="B1" s="552"/>
      <c r="C1" s="552"/>
      <c r="D1" s="553"/>
      <c r="E1" s="553"/>
      <c r="F1" s="553"/>
      <c r="G1" s="553"/>
      <c r="H1" s="552"/>
      <c r="I1" s="552"/>
    </row>
    <row r="2" spans="2:11" ht="15.75">
      <c r="B2" s="552"/>
      <c r="C2" s="907" t="s">
        <v>1110</v>
      </c>
      <c r="D2" s="907"/>
      <c r="E2" s="907"/>
      <c r="F2" s="907"/>
      <c r="G2" s="907"/>
      <c r="H2" s="554">
        <v>0.5</v>
      </c>
      <c r="I2" s="552"/>
    </row>
    <row r="3" spans="2:11" ht="11.1" customHeight="1">
      <c r="I3" s="552"/>
    </row>
    <row r="4" spans="2:11" ht="15.75" customHeight="1">
      <c r="B4" s="908" t="s">
        <v>1111</v>
      </c>
      <c r="C4" s="908"/>
      <c r="D4" s="908"/>
      <c r="E4" s="908"/>
      <c r="F4" s="908"/>
      <c r="G4" s="908"/>
      <c r="H4" s="908"/>
      <c r="I4" s="555"/>
    </row>
    <row r="5" spans="2:11" ht="14.45" customHeight="1">
      <c r="B5" s="908"/>
      <c r="C5" s="908"/>
      <c r="D5" s="908"/>
      <c r="E5" s="908"/>
      <c r="F5" s="908"/>
      <c r="G5" s="908"/>
      <c r="H5" s="908"/>
      <c r="I5" s="555"/>
    </row>
    <row r="6" spans="2:11" ht="10.5" customHeight="1">
      <c r="B6" s="555"/>
      <c r="C6" s="555"/>
      <c r="D6" s="555"/>
      <c r="E6" s="555"/>
      <c r="F6" s="555"/>
      <c r="G6" s="555"/>
      <c r="H6" s="555"/>
      <c r="I6" s="555"/>
    </row>
    <row r="7" spans="2:11" ht="15" customHeight="1">
      <c r="B7" s="909" t="s">
        <v>1112</v>
      </c>
      <c r="C7" s="909"/>
      <c r="D7" s="909"/>
      <c r="E7" s="909"/>
      <c r="F7" s="909"/>
      <c r="G7" s="909"/>
      <c r="H7" s="909"/>
      <c r="I7" s="555"/>
    </row>
    <row r="8" spans="2:11" ht="15" customHeight="1">
      <c r="B8" s="555"/>
      <c r="C8" s="555"/>
      <c r="D8" s="555"/>
      <c r="E8" s="555"/>
      <c r="F8" s="555"/>
      <c r="G8" s="555"/>
      <c r="H8" s="555"/>
      <c r="I8" s="555"/>
    </row>
    <row r="9" spans="2:11" ht="15.75" customHeight="1">
      <c r="B9" s="898">
        <v>0.1</v>
      </c>
      <c r="C9" s="899" t="s">
        <v>1113</v>
      </c>
      <c r="D9" s="899"/>
      <c r="E9" s="899"/>
      <c r="F9" s="899"/>
      <c r="G9" s="899"/>
      <c r="H9" s="899"/>
      <c r="I9" s="552"/>
    </row>
    <row r="10" spans="2:11" ht="36.950000000000003" customHeight="1">
      <c r="B10" s="898"/>
      <c r="C10" s="900" t="s">
        <v>1114</v>
      </c>
      <c r="D10" s="900"/>
      <c r="E10" s="900"/>
      <c r="F10" s="900"/>
      <c r="G10" s="900"/>
      <c r="H10" s="900"/>
      <c r="I10" s="552"/>
    </row>
    <row r="11" spans="2:11" ht="16.5" customHeight="1">
      <c r="B11" s="898"/>
      <c r="C11" s="556">
        <v>1</v>
      </c>
      <c r="D11" s="903" t="s">
        <v>1115</v>
      </c>
      <c r="E11" s="903"/>
      <c r="F11" s="903"/>
      <c r="G11" s="903"/>
      <c r="H11" s="901">
        <v>1</v>
      </c>
      <c r="I11" s="906">
        <f>IFERROR(VLOOKUP(H11,Factores!$W$3:$X$7,2,0)*B9*$H$2,"Introducir o revisar Valor en Columna H (Valor maximo permitido = 5)")</f>
        <v>5.000000000000001E-3</v>
      </c>
    </row>
    <row r="12" spans="2:11" ht="15" customHeight="1">
      <c r="B12" s="898"/>
      <c r="C12" s="556">
        <v>2</v>
      </c>
      <c r="D12" s="905" t="s">
        <v>1116</v>
      </c>
      <c r="E12" s="905"/>
      <c r="F12" s="905"/>
      <c r="G12" s="905"/>
      <c r="H12" s="901"/>
      <c r="I12" s="906"/>
      <c r="K12" s="557"/>
    </row>
    <row r="13" spans="2:11" ht="15" customHeight="1">
      <c r="B13" s="898"/>
      <c r="C13" s="556">
        <v>3</v>
      </c>
      <c r="D13" s="905" t="s">
        <v>1117</v>
      </c>
      <c r="E13" s="905"/>
      <c r="F13" s="905"/>
      <c r="G13" s="905"/>
      <c r="H13" s="901"/>
      <c r="I13" s="906"/>
      <c r="K13" s="558"/>
    </row>
    <row r="14" spans="2:11" ht="15" customHeight="1">
      <c r="B14" s="898"/>
      <c r="C14" s="556">
        <v>4</v>
      </c>
      <c r="D14" s="905" t="s">
        <v>1118</v>
      </c>
      <c r="E14" s="905"/>
      <c r="F14" s="905"/>
      <c r="G14" s="905"/>
      <c r="H14" s="901"/>
      <c r="I14" s="906"/>
    </row>
    <row r="15" spans="2:11" ht="16.5">
      <c r="B15" s="898"/>
      <c r="C15" s="556">
        <v>5</v>
      </c>
      <c r="D15" s="903" t="s">
        <v>1119</v>
      </c>
      <c r="E15" s="903"/>
      <c r="F15" s="903"/>
      <c r="G15" s="903"/>
      <c r="H15" s="901"/>
      <c r="I15" s="906"/>
    </row>
    <row r="16" spans="2:11" ht="9.9499999999999993" customHeight="1"/>
    <row r="17" spans="2:9" ht="15.75" customHeight="1">
      <c r="B17" s="898">
        <v>0.2</v>
      </c>
      <c r="C17" s="899" t="s">
        <v>1120</v>
      </c>
      <c r="D17" s="899"/>
      <c r="E17" s="899"/>
      <c r="F17" s="899"/>
      <c r="G17" s="899"/>
      <c r="H17" s="899"/>
      <c r="I17" s="559"/>
    </row>
    <row r="18" spans="2:9" ht="31.5" customHeight="1">
      <c r="B18" s="898"/>
      <c r="C18" s="900" t="s">
        <v>1121</v>
      </c>
      <c r="D18" s="900"/>
      <c r="E18" s="900"/>
      <c r="F18" s="900"/>
      <c r="G18" s="900"/>
      <c r="H18" s="900"/>
      <c r="I18" s="559"/>
    </row>
    <row r="19" spans="2:9" ht="16.5" customHeight="1">
      <c r="B19" s="898"/>
      <c r="C19" s="560">
        <v>1</v>
      </c>
      <c r="D19" s="903" t="s">
        <v>1122</v>
      </c>
      <c r="E19" s="903"/>
      <c r="F19" s="903"/>
      <c r="G19" s="903"/>
      <c r="H19" s="901">
        <v>1</v>
      </c>
      <c r="I19" s="895">
        <f>IFERROR(VLOOKUP(H19,Factores!$W$3:$X$7,2,0)*B17*$H$2,"Introducir o revisar Valor en Columna H (Valor maximo permitido = 5)")</f>
        <v>1.0000000000000002E-2</v>
      </c>
    </row>
    <row r="20" spans="2:9" ht="14.45" customHeight="1">
      <c r="B20" s="898"/>
      <c r="C20" s="560">
        <v>2</v>
      </c>
      <c r="D20" s="903" t="s">
        <v>1123</v>
      </c>
      <c r="E20" s="903"/>
      <c r="F20" s="903"/>
      <c r="G20" s="903"/>
      <c r="H20" s="901"/>
      <c r="I20" s="895"/>
    </row>
    <row r="21" spans="2:9" ht="16.5">
      <c r="B21" s="898"/>
      <c r="C21" s="560">
        <v>3</v>
      </c>
      <c r="D21" s="903" t="s">
        <v>1124</v>
      </c>
      <c r="E21" s="903"/>
      <c r="F21" s="903"/>
      <c r="G21" s="903"/>
      <c r="H21" s="901"/>
      <c r="I21" s="895"/>
    </row>
    <row r="22" spans="2:9" ht="15.6" customHeight="1">
      <c r="B22" s="898"/>
      <c r="C22" s="560">
        <v>4</v>
      </c>
      <c r="D22" s="903" t="s">
        <v>1125</v>
      </c>
      <c r="E22" s="903"/>
      <c r="F22" s="903"/>
      <c r="G22" s="903"/>
      <c r="H22" s="901"/>
      <c r="I22" s="895"/>
    </row>
    <row r="23" spans="2:9" ht="15" customHeight="1">
      <c r="B23" s="898"/>
      <c r="C23" s="560">
        <v>5</v>
      </c>
      <c r="D23" s="905" t="s">
        <v>1126</v>
      </c>
      <c r="E23" s="905"/>
      <c r="F23" s="905"/>
      <c r="G23" s="905"/>
      <c r="H23" s="901"/>
      <c r="I23" s="895"/>
    </row>
    <row r="24" spans="2:9" ht="9.9499999999999993" customHeight="1"/>
    <row r="25" spans="2:9" ht="15.75" customHeight="1">
      <c r="B25" s="898">
        <v>0.2</v>
      </c>
      <c r="C25" s="899" t="s">
        <v>1127</v>
      </c>
      <c r="D25" s="899"/>
      <c r="E25" s="899"/>
      <c r="F25" s="899"/>
      <c r="G25" s="899"/>
      <c r="H25" s="899"/>
      <c r="I25" s="559"/>
    </row>
    <row r="26" spans="2:9" ht="41.1" customHeight="1">
      <c r="B26" s="898"/>
      <c r="C26" s="900" t="s">
        <v>1128</v>
      </c>
      <c r="D26" s="900"/>
      <c r="E26" s="900"/>
      <c r="F26" s="900"/>
      <c r="G26" s="900"/>
      <c r="H26" s="900"/>
      <c r="I26" s="559"/>
    </row>
    <row r="27" spans="2:9" ht="16.5" customHeight="1">
      <c r="B27" s="898"/>
      <c r="C27" s="556">
        <v>1</v>
      </c>
      <c r="D27" s="903" t="s">
        <v>1129</v>
      </c>
      <c r="E27" s="903"/>
      <c r="F27" s="903"/>
      <c r="G27" s="903"/>
      <c r="H27" s="901">
        <v>2</v>
      </c>
      <c r="I27" s="895">
        <f>IFERROR(VLOOKUP(H27,Factores!$W$3:$X$7,2,0)*B25*$H$2,"Introducir o revisar Valor en Columna H (Valor maximo permitido = 5)")</f>
        <v>2.5000000000000001E-2</v>
      </c>
    </row>
    <row r="28" spans="2:9" ht="16.5">
      <c r="B28" s="898"/>
      <c r="C28" s="556">
        <v>2</v>
      </c>
      <c r="D28" s="903" t="s">
        <v>1130</v>
      </c>
      <c r="E28" s="903"/>
      <c r="F28" s="903"/>
      <c r="G28" s="903"/>
      <c r="H28" s="901"/>
      <c r="I28" s="895"/>
    </row>
    <row r="29" spans="2:9" ht="16.5">
      <c r="B29" s="898"/>
      <c r="C29" s="556">
        <v>3</v>
      </c>
      <c r="D29" s="903" t="s">
        <v>1131</v>
      </c>
      <c r="E29" s="903"/>
      <c r="F29" s="903"/>
      <c r="G29" s="903"/>
      <c r="H29" s="901"/>
      <c r="I29" s="895"/>
    </row>
    <row r="30" spans="2:9" ht="16.5">
      <c r="B30" s="898"/>
      <c r="C30" s="556">
        <v>4</v>
      </c>
      <c r="D30" s="903" t="s">
        <v>1132</v>
      </c>
      <c r="E30" s="903"/>
      <c r="F30" s="903"/>
      <c r="G30" s="903"/>
      <c r="H30" s="901"/>
      <c r="I30" s="895"/>
    </row>
    <row r="31" spans="2:9" ht="16.5">
      <c r="B31" s="898"/>
      <c r="C31" s="556">
        <v>5</v>
      </c>
      <c r="D31" s="904" t="s">
        <v>1133</v>
      </c>
      <c r="E31" s="904"/>
      <c r="F31" s="904"/>
      <c r="G31" s="904"/>
      <c r="H31" s="901"/>
      <c r="I31" s="895"/>
    </row>
    <row r="32" spans="2:9" ht="9.9499999999999993" customHeight="1"/>
    <row r="33" spans="2:9" ht="15.75" customHeight="1">
      <c r="B33" s="898">
        <v>0.25</v>
      </c>
      <c r="C33" s="899" t="s">
        <v>1134</v>
      </c>
      <c r="D33" s="899"/>
      <c r="E33" s="899"/>
      <c r="F33" s="899"/>
      <c r="G33" s="899"/>
      <c r="H33" s="899"/>
      <c r="I33" s="559"/>
    </row>
    <row r="34" spans="2:9" ht="25.5" customHeight="1">
      <c r="B34" s="898"/>
      <c r="C34" s="900" t="s">
        <v>1135</v>
      </c>
      <c r="D34" s="900"/>
      <c r="E34" s="900"/>
      <c r="F34" s="900"/>
      <c r="G34" s="900"/>
      <c r="H34" s="900"/>
      <c r="I34" s="559"/>
    </row>
    <row r="35" spans="2:9" ht="15.75" customHeight="1">
      <c r="B35" s="898"/>
      <c r="C35" s="560">
        <v>1</v>
      </c>
      <c r="D35" s="896" t="s">
        <v>1136</v>
      </c>
      <c r="E35" s="896"/>
      <c r="F35" s="896"/>
      <c r="G35" s="896"/>
      <c r="H35" s="901">
        <v>1</v>
      </c>
      <c r="I35" s="895">
        <f>IFERROR(VLOOKUP(H35,Factores!$W$3:$X$7,2,0)*B33*$H$2,"Introducir o revisar Valor en Columna H (Valor maximo permitido = 5)")</f>
        <v>1.2500000000000001E-2</v>
      </c>
    </row>
    <row r="36" spans="2:9" ht="15.75">
      <c r="B36" s="898"/>
      <c r="C36" s="560">
        <v>2</v>
      </c>
      <c r="D36" s="896" t="s">
        <v>1137</v>
      </c>
      <c r="E36" s="896"/>
      <c r="F36" s="896"/>
      <c r="G36" s="896"/>
      <c r="H36" s="901"/>
      <c r="I36" s="895"/>
    </row>
    <row r="37" spans="2:9" ht="15.75">
      <c r="B37" s="898"/>
      <c r="C37" s="560">
        <v>3</v>
      </c>
      <c r="D37" s="896" t="s">
        <v>1138</v>
      </c>
      <c r="E37" s="896"/>
      <c r="F37" s="896"/>
      <c r="G37" s="896"/>
      <c r="H37" s="901"/>
      <c r="I37" s="895"/>
    </row>
    <row r="38" spans="2:9" ht="15.75">
      <c r="B38" s="898"/>
      <c r="C38" s="560">
        <v>4</v>
      </c>
      <c r="D38" s="896" t="s">
        <v>1139</v>
      </c>
      <c r="E38" s="896"/>
      <c r="F38" s="896"/>
      <c r="G38" s="896"/>
      <c r="H38" s="901"/>
      <c r="I38" s="895"/>
    </row>
    <row r="39" spans="2:9" ht="15.6" customHeight="1">
      <c r="B39" s="898"/>
      <c r="C39" s="560">
        <v>5</v>
      </c>
      <c r="D39" s="902" t="s">
        <v>1140</v>
      </c>
      <c r="E39" s="902"/>
      <c r="F39" s="902"/>
      <c r="G39" s="902"/>
      <c r="H39" s="901"/>
      <c r="I39" s="895"/>
    </row>
    <row r="40" spans="2:9" ht="15.75">
      <c r="B40" s="552"/>
      <c r="C40" s="552"/>
      <c r="D40" s="553"/>
      <c r="E40" s="553"/>
      <c r="F40" s="553"/>
      <c r="G40" s="553"/>
      <c r="H40" s="552"/>
      <c r="I40" s="552"/>
    </row>
    <row r="41" spans="2:9" ht="15.75" customHeight="1">
      <c r="B41" s="898">
        <v>0.25</v>
      </c>
      <c r="C41" s="899" t="s">
        <v>1141</v>
      </c>
      <c r="D41" s="899"/>
      <c r="E41" s="899"/>
      <c r="F41" s="899"/>
      <c r="G41" s="899"/>
      <c r="H41" s="899"/>
      <c r="I41" s="559"/>
    </row>
    <row r="42" spans="2:9" ht="24.95" customHeight="1">
      <c r="B42" s="898"/>
      <c r="C42" s="900" t="s">
        <v>1142</v>
      </c>
      <c r="D42" s="900"/>
      <c r="E42" s="900"/>
      <c r="F42" s="900"/>
      <c r="G42" s="900"/>
      <c r="H42" s="900"/>
      <c r="I42" s="559"/>
    </row>
    <row r="43" spans="2:9" ht="15.75" customHeight="1">
      <c r="B43" s="898"/>
      <c r="C43" s="560">
        <v>1</v>
      </c>
      <c r="D43" s="896" t="s">
        <v>1143</v>
      </c>
      <c r="E43" s="896"/>
      <c r="F43" s="896"/>
      <c r="G43" s="896"/>
      <c r="H43" s="901">
        <v>2</v>
      </c>
      <c r="I43" s="895">
        <f>IFERROR(VLOOKUP(H43,Factores!$W$3:$X$7,2,0)*B41*$H$2,"Introducir o revisar Valor en Columna H (Valor maximo permitido = 5)")</f>
        <v>3.125E-2</v>
      </c>
    </row>
    <row r="44" spans="2:9" ht="15.75">
      <c r="B44" s="898"/>
      <c r="C44" s="560">
        <v>2</v>
      </c>
      <c r="D44" s="896" t="s">
        <v>1144</v>
      </c>
      <c r="E44" s="896"/>
      <c r="F44" s="896"/>
      <c r="G44" s="896"/>
      <c r="H44" s="901"/>
      <c r="I44" s="895"/>
    </row>
    <row r="45" spans="2:9" ht="15.75">
      <c r="B45" s="898"/>
      <c r="C45" s="560">
        <v>3</v>
      </c>
      <c r="D45" s="896" t="s">
        <v>1145</v>
      </c>
      <c r="E45" s="896"/>
      <c r="F45" s="896"/>
      <c r="G45" s="896"/>
      <c r="H45" s="901"/>
      <c r="I45" s="895"/>
    </row>
    <row r="46" spans="2:9" ht="15.75">
      <c r="B46" s="898"/>
      <c r="C46" s="560">
        <v>4</v>
      </c>
      <c r="D46" s="896" t="s">
        <v>1146</v>
      </c>
      <c r="E46" s="896"/>
      <c r="F46" s="896"/>
      <c r="G46" s="896"/>
      <c r="H46" s="901"/>
      <c r="I46" s="895"/>
    </row>
    <row r="47" spans="2:9" ht="15.6" customHeight="1">
      <c r="B47" s="898"/>
      <c r="C47" s="561">
        <v>5</v>
      </c>
      <c r="D47" s="897" t="s">
        <v>1147</v>
      </c>
      <c r="E47" s="897"/>
      <c r="F47" s="897"/>
      <c r="G47" s="897"/>
      <c r="H47" s="901"/>
      <c r="I47" s="895"/>
    </row>
    <row r="50" spans="3:9" ht="15.75">
      <c r="C50" s="894" t="s">
        <v>1148</v>
      </c>
      <c r="D50" s="894"/>
      <c r="E50" s="894"/>
      <c r="F50" s="894"/>
      <c r="G50" s="894"/>
      <c r="H50" s="894"/>
      <c r="I50" s="562">
        <f>1+I11+I19+I27+I35+I43</f>
        <v>1.0837499999999998</v>
      </c>
    </row>
  </sheetData>
  <sheetProtection algorithmName="SHA-512" hashValue="Vl5yi1OO6TziEdcD/4MefF03+Qe1jHbrNIU0+LMn9SHS6JTLIM/hK8DAs/ZSWcmtwdFDdSrIs9Rhup0DVjZixA==" saltValue="8bJ0Gdufl/F0IleKVSVT/A==" spinCount="100000" sheet="1" objects="1" scenarios="1"/>
  <mergeCells count="54">
    <mergeCell ref="C2:G2"/>
    <mergeCell ref="B4:H5"/>
    <mergeCell ref="B7:H7"/>
    <mergeCell ref="B9:B15"/>
    <mergeCell ref="C9:H9"/>
    <mergeCell ref="C10:H10"/>
    <mergeCell ref="D11:G11"/>
    <mergeCell ref="H11:H15"/>
    <mergeCell ref="I11:I15"/>
    <mergeCell ref="D12:G12"/>
    <mergeCell ref="D13:G13"/>
    <mergeCell ref="D14:G14"/>
    <mergeCell ref="D15:G15"/>
    <mergeCell ref="B17:B23"/>
    <mergeCell ref="C17:H17"/>
    <mergeCell ref="C18:H18"/>
    <mergeCell ref="D19:G19"/>
    <mergeCell ref="H19:H23"/>
    <mergeCell ref="I19:I23"/>
    <mergeCell ref="D20:G20"/>
    <mergeCell ref="D21:G21"/>
    <mergeCell ref="D22:G22"/>
    <mergeCell ref="D23:G23"/>
    <mergeCell ref="B25:B31"/>
    <mergeCell ref="C25:H25"/>
    <mergeCell ref="C26:H26"/>
    <mergeCell ref="D27:G27"/>
    <mergeCell ref="H27:H31"/>
    <mergeCell ref="I27:I31"/>
    <mergeCell ref="D28:G28"/>
    <mergeCell ref="D29:G29"/>
    <mergeCell ref="D30:G30"/>
    <mergeCell ref="D31:G31"/>
    <mergeCell ref="B33:B39"/>
    <mergeCell ref="C33:H33"/>
    <mergeCell ref="C34:H34"/>
    <mergeCell ref="D35:G35"/>
    <mergeCell ref="H35:H39"/>
    <mergeCell ref="I35:I39"/>
    <mergeCell ref="D36:G36"/>
    <mergeCell ref="D37:G37"/>
    <mergeCell ref="D38:G38"/>
    <mergeCell ref="D39:G39"/>
    <mergeCell ref="B41:B47"/>
    <mergeCell ref="C41:H41"/>
    <mergeCell ref="C42:H42"/>
    <mergeCell ref="D43:G43"/>
    <mergeCell ref="H43:H47"/>
    <mergeCell ref="C50:H50"/>
    <mergeCell ref="I43:I47"/>
    <mergeCell ref="D44:G44"/>
    <mergeCell ref="D45:G45"/>
    <mergeCell ref="D46:G46"/>
    <mergeCell ref="D47:G47"/>
  </mergeCells>
  <dataValidations count="1">
    <dataValidation type="whole" allowBlank="1" showInputMessage="1" showErrorMessage="1" sqref="H11:I15 H19:H23 H27:H31 H35:H39 H43:H47" xr:uid="{00000000-0002-0000-0E00-000000000000}">
      <formula1>1</formula1>
      <formula2>5</formula2>
    </dataValidation>
  </dataValidations>
  <pageMargins left="0.7" right="0.7" top="0.75" bottom="0.75" header="0.51180555555555496" footer="0.51180555555555496"/>
  <pageSetup firstPageNumber="0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4">
    <tabColor theme="4" tint="-0.499984740745262"/>
  </sheetPr>
  <dimension ref="B1:O50"/>
  <sheetViews>
    <sheetView showGridLines="0" showRowColHeaders="0" zoomScaleNormal="100" workbookViewId="0">
      <selection activeCell="P40" sqref="P40"/>
    </sheetView>
  </sheetViews>
  <sheetFormatPr baseColWidth="10" defaultColWidth="9.140625" defaultRowHeight="15"/>
  <cols>
    <col min="1" max="1" width="2.42578125" customWidth="1"/>
    <col min="2" max="2" width="5.42578125" customWidth="1"/>
    <col min="3" max="3" width="3.85546875" customWidth="1"/>
    <col min="4" max="4" width="13.140625" style="144" customWidth="1"/>
    <col min="5" max="5" width="15.7109375" style="144" customWidth="1"/>
    <col min="6" max="6" width="12.7109375" style="144" customWidth="1"/>
    <col min="7" max="7" width="15.140625" style="144" customWidth="1"/>
    <col min="8" max="8" width="12.85546875" customWidth="1"/>
    <col min="9" max="9" width="15.28515625" customWidth="1"/>
    <col min="10" max="10" width="3.42578125" customWidth="1"/>
    <col min="11" max="11" width="35.28515625" customWidth="1"/>
    <col min="12" max="12" width="4.7109375" customWidth="1"/>
    <col min="13" max="13" width="14.42578125" customWidth="1"/>
    <col min="14" max="14" width="1.85546875" customWidth="1"/>
    <col min="15" max="15" width="5.28515625" customWidth="1"/>
    <col min="16" max="1025" width="10.42578125" customWidth="1"/>
  </cols>
  <sheetData>
    <row r="1" spans="2:15" ht="15.75">
      <c r="B1" s="552"/>
      <c r="C1" s="552"/>
      <c r="D1" s="553"/>
      <c r="E1" s="553"/>
      <c r="F1" s="553"/>
      <c r="G1" s="553"/>
      <c r="H1" s="552"/>
      <c r="I1" s="552"/>
    </row>
    <row r="2" spans="2:15" ht="15.75">
      <c r="B2" s="552"/>
      <c r="C2" s="907" t="s">
        <v>1110</v>
      </c>
      <c r="D2" s="907"/>
      <c r="E2" s="907"/>
      <c r="F2" s="907"/>
      <c r="G2" s="907"/>
      <c r="H2" s="563">
        <v>0.5</v>
      </c>
      <c r="I2" s="552"/>
    </row>
    <row r="3" spans="2:15" ht="10.5" customHeight="1">
      <c r="B3" s="552"/>
      <c r="I3" s="552"/>
    </row>
    <row r="4" spans="2:15" ht="15.75" customHeight="1">
      <c r="B4" s="908" t="s">
        <v>1149</v>
      </c>
      <c r="C4" s="908"/>
      <c r="D4" s="908"/>
      <c r="E4" s="908"/>
      <c r="F4" s="908"/>
      <c r="G4" s="908"/>
      <c r="H4" s="908"/>
      <c r="I4" s="555"/>
      <c r="L4" s="564"/>
      <c r="M4" s="564"/>
    </row>
    <row r="5" spans="2:15" ht="14.45" customHeight="1">
      <c r="B5" s="908"/>
      <c r="C5" s="908"/>
      <c r="D5" s="908"/>
      <c r="E5" s="908"/>
      <c r="F5" s="908"/>
      <c r="G5" s="908"/>
      <c r="H5" s="908"/>
      <c r="I5" s="555"/>
      <c r="L5" s="564"/>
      <c r="M5" s="564"/>
    </row>
    <row r="6" spans="2:15" ht="11.45" customHeight="1">
      <c r="B6" s="555"/>
      <c r="C6" s="555"/>
      <c r="D6" s="555"/>
      <c r="E6" s="555"/>
      <c r="F6" s="555"/>
      <c r="G6" s="555"/>
      <c r="H6" s="555"/>
      <c r="I6" s="555"/>
      <c r="L6" s="564"/>
      <c r="M6" s="564"/>
    </row>
    <row r="7" spans="2:15" ht="24" customHeight="1">
      <c r="B7" s="914" t="s">
        <v>1150</v>
      </c>
      <c r="C7" s="914"/>
      <c r="D7" s="914"/>
      <c r="E7" s="914"/>
      <c r="F7" s="914"/>
      <c r="G7" s="914"/>
      <c r="H7" s="914"/>
      <c r="I7" s="555"/>
      <c r="L7" s="564"/>
      <c r="M7" s="564"/>
      <c r="N7" s="565"/>
      <c r="O7" s="566"/>
    </row>
    <row r="8" spans="2:15" ht="15" customHeight="1">
      <c r="B8" s="555"/>
      <c r="C8" s="555"/>
      <c r="D8" s="555"/>
      <c r="E8" s="555"/>
      <c r="F8" s="555"/>
      <c r="G8" s="555"/>
      <c r="H8" s="555"/>
      <c r="I8" s="555"/>
    </row>
    <row r="9" spans="2:15" ht="15.75" customHeight="1">
      <c r="B9" s="898">
        <v>0.1</v>
      </c>
      <c r="C9" s="899" t="s">
        <v>1113</v>
      </c>
      <c r="D9" s="899"/>
      <c r="E9" s="899"/>
      <c r="F9" s="899"/>
      <c r="G9" s="899"/>
      <c r="H9" s="899"/>
      <c r="I9" s="552"/>
      <c r="M9" s="558"/>
    </row>
    <row r="10" spans="2:15" ht="36.950000000000003" customHeight="1">
      <c r="B10" s="898"/>
      <c r="C10" s="900" t="s">
        <v>1114</v>
      </c>
      <c r="D10" s="900"/>
      <c r="E10" s="900"/>
      <c r="F10" s="900"/>
      <c r="G10" s="900"/>
      <c r="H10" s="900"/>
      <c r="I10" s="552"/>
      <c r="M10" s="558"/>
      <c r="N10" s="567"/>
    </row>
    <row r="11" spans="2:15" ht="16.5">
      <c r="B11" s="898"/>
      <c r="C11" s="556">
        <v>1</v>
      </c>
      <c r="D11" s="903" t="s">
        <v>1115</v>
      </c>
      <c r="E11" s="903"/>
      <c r="F11" s="903"/>
      <c r="G11" s="903"/>
      <c r="H11" s="912">
        <v>1</v>
      </c>
      <c r="I11" s="910">
        <f>IFERROR(VLOOKUP(H11,Factores!$W$3:$X$7,2,0)*B9*$H$2,"Introducir o revisar Valor en Columna H (Valor maximo permitido = 5)")</f>
        <v>5.000000000000001E-3</v>
      </c>
      <c r="M11" s="558"/>
    </row>
    <row r="12" spans="2:15" ht="16.5" customHeight="1">
      <c r="B12" s="898"/>
      <c r="C12" s="556">
        <v>2</v>
      </c>
      <c r="D12" s="905" t="s">
        <v>1116</v>
      </c>
      <c r="E12" s="905"/>
      <c r="F12" s="905"/>
      <c r="G12" s="905"/>
      <c r="H12" s="912"/>
      <c r="I12" s="910"/>
      <c r="M12" s="558"/>
    </row>
    <row r="13" spans="2:15" ht="16.5" customHeight="1">
      <c r="B13" s="898"/>
      <c r="C13" s="556">
        <v>3</v>
      </c>
      <c r="D13" s="905" t="s">
        <v>1117</v>
      </c>
      <c r="E13" s="905"/>
      <c r="F13" s="905"/>
      <c r="G13" s="905"/>
      <c r="H13" s="912"/>
      <c r="I13" s="910"/>
      <c r="M13" s="558"/>
    </row>
    <row r="14" spans="2:15" ht="16.5" customHeight="1">
      <c r="B14" s="898"/>
      <c r="C14" s="556">
        <v>4</v>
      </c>
      <c r="D14" s="905" t="s">
        <v>1118</v>
      </c>
      <c r="E14" s="905"/>
      <c r="F14" s="905"/>
      <c r="G14" s="905"/>
      <c r="H14" s="912"/>
      <c r="I14" s="910"/>
      <c r="M14" s="564"/>
    </row>
    <row r="15" spans="2:15" ht="16.5">
      <c r="B15" s="898"/>
      <c r="C15" s="556">
        <v>5</v>
      </c>
      <c r="D15" s="903" t="s">
        <v>1119</v>
      </c>
      <c r="E15" s="903"/>
      <c r="F15" s="903"/>
      <c r="G15" s="903"/>
      <c r="H15" s="912"/>
      <c r="I15" s="910"/>
      <c r="M15" s="252"/>
    </row>
    <row r="16" spans="2:15" ht="9.9499999999999993" customHeight="1"/>
    <row r="17" spans="2:15" ht="15.75" customHeight="1">
      <c r="B17" s="898">
        <v>0.2</v>
      </c>
      <c r="C17" s="899" t="s">
        <v>1120</v>
      </c>
      <c r="D17" s="899"/>
      <c r="E17" s="899"/>
      <c r="F17" s="899"/>
      <c r="G17" s="899"/>
      <c r="H17" s="899"/>
      <c r="I17" s="559"/>
      <c r="M17" s="252"/>
    </row>
    <row r="18" spans="2:15" ht="31.5" customHeight="1">
      <c r="B18" s="898"/>
      <c r="C18" s="900" t="s">
        <v>1121</v>
      </c>
      <c r="D18" s="900"/>
      <c r="E18" s="900"/>
      <c r="F18" s="900"/>
      <c r="G18" s="900"/>
      <c r="H18" s="900"/>
      <c r="I18" s="559"/>
      <c r="O18" s="568"/>
    </row>
    <row r="19" spans="2:15" ht="16.5" customHeight="1">
      <c r="B19" s="898"/>
      <c r="C19" s="560">
        <v>1</v>
      </c>
      <c r="D19" s="903" t="s">
        <v>1122</v>
      </c>
      <c r="E19" s="903"/>
      <c r="F19" s="903"/>
      <c r="G19" s="903"/>
      <c r="H19" s="912">
        <v>2</v>
      </c>
      <c r="I19" s="910">
        <f>IFERROR(VLOOKUP(H19,Factores!$W$3:$X$7,2,0)*B17*$H$2,"Introducir o revisar Valor en Columna H (Valor maximo permitido = 5)")</f>
        <v>2.5000000000000001E-2</v>
      </c>
    </row>
    <row r="20" spans="2:15" ht="14.45" customHeight="1">
      <c r="B20" s="898"/>
      <c r="C20" s="560">
        <v>2</v>
      </c>
      <c r="D20" s="903" t="s">
        <v>1123</v>
      </c>
      <c r="E20" s="903"/>
      <c r="F20" s="903"/>
      <c r="G20" s="903"/>
      <c r="H20" s="912"/>
      <c r="I20" s="910"/>
    </row>
    <row r="21" spans="2:15" ht="16.5">
      <c r="B21" s="898"/>
      <c r="C21" s="560">
        <v>3</v>
      </c>
      <c r="D21" s="903" t="s">
        <v>1124</v>
      </c>
      <c r="E21" s="903"/>
      <c r="F21" s="903"/>
      <c r="G21" s="903"/>
      <c r="H21" s="912"/>
      <c r="I21" s="910"/>
      <c r="M21" s="569"/>
    </row>
    <row r="22" spans="2:15" ht="15.6" customHeight="1">
      <c r="B22" s="898"/>
      <c r="C22" s="560">
        <v>4</v>
      </c>
      <c r="D22" s="903" t="s">
        <v>1125</v>
      </c>
      <c r="E22" s="903"/>
      <c r="F22" s="903"/>
      <c r="G22" s="903"/>
      <c r="H22" s="912"/>
      <c r="I22" s="910"/>
    </row>
    <row r="23" spans="2:15" ht="16.5" customHeight="1">
      <c r="B23" s="898"/>
      <c r="C23" s="560">
        <v>5</v>
      </c>
      <c r="D23" s="905" t="s">
        <v>1126</v>
      </c>
      <c r="E23" s="905"/>
      <c r="F23" s="905"/>
      <c r="G23" s="905"/>
      <c r="H23" s="912"/>
      <c r="I23" s="910"/>
    </row>
    <row r="24" spans="2:15" ht="9.9499999999999993" customHeight="1"/>
    <row r="25" spans="2:15" ht="15.75" customHeight="1">
      <c r="B25" s="898">
        <v>0.2</v>
      </c>
      <c r="C25" s="899" t="s">
        <v>1127</v>
      </c>
      <c r="D25" s="899"/>
      <c r="E25" s="899"/>
      <c r="F25" s="899"/>
      <c r="G25" s="899"/>
      <c r="H25" s="899"/>
      <c r="I25" s="559"/>
    </row>
    <row r="26" spans="2:15" ht="41.1" customHeight="1">
      <c r="B26" s="898"/>
      <c r="C26" s="900" t="s">
        <v>1128</v>
      </c>
      <c r="D26" s="900"/>
      <c r="E26" s="900"/>
      <c r="F26" s="900"/>
      <c r="G26" s="900"/>
      <c r="H26" s="900"/>
      <c r="I26" s="559"/>
    </row>
    <row r="27" spans="2:15" ht="16.5" customHeight="1">
      <c r="B27" s="898"/>
      <c r="C27" s="556">
        <v>1</v>
      </c>
      <c r="D27" s="903" t="s">
        <v>1129</v>
      </c>
      <c r="E27" s="903"/>
      <c r="F27" s="903"/>
      <c r="G27" s="903"/>
      <c r="H27" s="912">
        <v>1</v>
      </c>
      <c r="I27" s="910">
        <f>IFERROR(VLOOKUP(H27,Factores!$W$3:$X$7,2,0)*B25*$H$2,"Introducir o revisar Valor en Columna H (Valor maximo permitido = 5)")</f>
        <v>1.0000000000000002E-2</v>
      </c>
    </row>
    <row r="28" spans="2:15" ht="16.5">
      <c r="B28" s="898"/>
      <c r="C28" s="556">
        <v>2</v>
      </c>
      <c r="D28" s="903" t="s">
        <v>1130</v>
      </c>
      <c r="E28" s="903"/>
      <c r="F28" s="903"/>
      <c r="G28" s="903"/>
      <c r="H28" s="912"/>
      <c r="I28" s="910"/>
    </row>
    <row r="29" spans="2:15" ht="16.5">
      <c r="B29" s="898"/>
      <c r="C29" s="556">
        <v>3</v>
      </c>
      <c r="D29" s="903" t="s">
        <v>1131</v>
      </c>
      <c r="E29" s="903"/>
      <c r="F29" s="903"/>
      <c r="G29" s="903"/>
      <c r="H29" s="912"/>
      <c r="I29" s="910"/>
    </row>
    <row r="30" spans="2:15" ht="16.5">
      <c r="B30" s="898"/>
      <c r="C30" s="556">
        <v>4</v>
      </c>
      <c r="D30" s="903" t="s">
        <v>1132</v>
      </c>
      <c r="E30" s="903"/>
      <c r="F30" s="903"/>
      <c r="G30" s="903"/>
      <c r="H30" s="912"/>
      <c r="I30" s="910"/>
    </row>
    <row r="31" spans="2:15" ht="16.5">
      <c r="B31" s="898"/>
      <c r="C31" s="556">
        <v>5</v>
      </c>
      <c r="D31" s="903" t="s">
        <v>1133</v>
      </c>
      <c r="E31" s="903"/>
      <c r="F31" s="903"/>
      <c r="G31" s="903"/>
      <c r="H31" s="912"/>
      <c r="I31" s="910"/>
    </row>
    <row r="32" spans="2:15" ht="9.9499999999999993" customHeight="1"/>
    <row r="33" spans="2:9" ht="15.75" customHeight="1">
      <c r="B33" s="898">
        <v>0.25</v>
      </c>
      <c r="C33" s="899" t="s">
        <v>1134</v>
      </c>
      <c r="D33" s="899"/>
      <c r="E33" s="899"/>
      <c r="F33" s="899"/>
      <c r="G33" s="899"/>
      <c r="H33" s="899"/>
      <c r="I33" s="559"/>
    </row>
    <row r="34" spans="2:9" ht="25.5" customHeight="1">
      <c r="B34" s="898"/>
      <c r="C34" s="900" t="s">
        <v>1135</v>
      </c>
      <c r="D34" s="900"/>
      <c r="E34" s="900"/>
      <c r="F34" s="900"/>
      <c r="G34" s="900"/>
      <c r="H34" s="900"/>
      <c r="I34" s="559"/>
    </row>
    <row r="35" spans="2:9" ht="15.75" customHeight="1">
      <c r="B35" s="898"/>
      <c r="C35" s="560">
        <v>1</v>
      </c>
      <c r="D35" s="896" t="s">
        <v>1136</v>
      </c>
      <c r="E35" s="896"/>
      <c r="F35" s="896"/>
      <c r="G35" s="896"/>
      <c r="H35" s="912">
        <v>2</v>
      </c>
      <c r="I35" s="910">
        <f>IFERROR(VLOOKUP(H35,Factores!$W$3:$X$7,2,0)*B33*$H$2,"Introducir o revisar Valor en Columna H (Valor maximo permitido = 5)")</f>
        <v>3.125E-2</v>
      </c>
    </row>
    <row r="36" spans="2:9" ht="15.75">
      <c r="B36" s="898"/>
      <c r="C36" s="560">
        <v>2</v>
      </c>
      <c r="D36" s="896" t="s">
        <v>1137</v>
      </c>
      <c r="E36" s="896"/>
      <c r="F36" s="896"/>
      <c r="G36" s="896"/>
      <c r="H36" s="912"/>
      <c r="I36" s="910"/>
    </row>
    <row r="37" spans="2:9" ht="15.75">
      <c r="B37" s="898"/>
      <c r="C37" s="560">
        <v>3</v>
      </c>
      <c r="D37" s="896" t="s">
        <v>1138</v>
      </c>
      <c r="E37" s="896"/>
      <c r="F37" s="896"/>
      <c r="G37" s="896"/>
      <c r="H37" s="912"/>
      <c r="I37" s="910"/>
    </row>
    <row r="38" spans="2:9" ht="15.75">
      <c r="B38" s="898"/>
      <c r="C38" s="560">
        <v>4</v>
      </c>
      <c r="D38" s="896" t="s">
        <v>1139</v>
      </c>
      <c r="E38" s="896"/>
      <c r="F38" s="896"/>
      <c r="G38" s="896"/>
      <c r="H38" s="912"/>
      <c r="I38" s="910"/>
    </row>
    <row r="39" spans="2:9" ht="15.6" customHeight="1">
      <c r="B39" s="898"/>
      <c r="C39" s="560">
        <v>5</v>
      </c>
      <c r="D39" s="913" t="s">
        <v>1140</v>
      </c>
      <c r="E39" s="913"/>
      <c r="F39" s="913"/>
      <c r="G39" s="913"/>
      <c r="H39" s="912"/>
      <c r="I39" s="910"/>
    </row>
    <row r="40" spans="2:9" ht="15.75">
      <c r="B40" s="552"/>
      <c r="C40" s="552"/>
      <c r="D40" s="553"/>
      <c r="E40" s="553"/>
      <c r="F40" s="553"/>
      <c r="G40" s="553"/>
      <c r="H40" s="552"/>
      <c r="I40" s="552"/>
    </row>
    <row r="41" spans="2:9" ht="15.75" customHeight="1">
      <c r="B41" s="898">
        <v>0.25</v>
      </c>
      <c r="C41" s="899" t="s">
        <v>1141</v>
      </c>
      <c r="D41" s="899"/>
      <c r="E41" s="899"/>
      <c r="F41" s="899"/>
      <c r="G41" s="899"/>
      <c r="H41" s="899"/>
      <c r="I41" s="559"/>
    </row>
    <row r="42" spans="2:9" ht="24.95" customHeight="1">
      <c r="B42" s="898"/>
      <c r="C42" s="900" t="s">
        <v>1142</v>
      </c>
      <c r="D42" s="900"/>
      <c r="E42" s="900"/>
      <c r="F42" s="900"/>
      <c r="G42" s="900"/>
      <c r="H42" s="900"/>
      <c r="I42" s="559"/>
    </row>
    <row r="43" spans="2:9" ht="15.75" customHeight="1">
      <c r="B43" s="898"/>
      <c r="C43" s="560">
        <v>1</v>
      </c>
      <c r="D43" s="896" t="s">
        <v>1143</v>
      </c>
      <c r="E43" s="896"/>
      <c r="F43" s="896"/>
      <c r="G43" s="896"/>
      <c r="H43" s="912">
        <v>3</v>
      </c>
      <c r="I43" s="910">
        <f>IFERROR(VLOOKUP(H43,Factores!$W$3:$X$7,2,0)*B41*$H$2,"Introducir o revisar Valor en Columna H (Valor maximo permitido = 5)")</f>
        <v>6.25E-2</v>
      </c>
    </row>
    <row r="44" spans="2:9" ht="15.75">
      <c r="B44" s="898"/>
      <c r="C44" s="560">
        <v>2</v>
      </c>
      <c r="D44" s="896" t="s">
        <v>1144</v>
      </c>
      <c r="E44" s="896"/>
      <c r="F44" s="896"/>
      <c r="G44" s="896"/>
      <c r="H44" s="912"/>
      <c r="I44" s="910"/>
    </row>
    <row r="45" spans="2:9" ht="15.75">
      <c r="B45" s="898"/>
      <c r="C45" s="560">
        <v>3</v>
      </c>
      <c r="D45" s="896" t="s">
        <v>1145</v>
      </c>
      <c r="E45" s="896"/>
      <c r="F45" s="896"/>
      <c r="G45" s="896"/>
      <c r="H45" s="912"/>
      <c r="I45" s="910"/>
    </row>
    <row r="46" spans="2:9" ht="15.75">
      <c r="B46" s="898"/>
      <c r="C46" s="560">
        <v>4</v>
      </c>
      <c r="D46" s="896" t="s">
        <v>1146</v>
      </c>
      <c r="E46" s="896"/>
      <c r="F46" s="896"/>
      <c r="G46" s="896"/>
      <c r="H46" s="912"/>
      <c r="I46" s="910"/>
    </row>
    <row r="47" spans="2:9" ht="16.5" customHeight="1">
      <c r="B47" s="898"/>
      <c r="C47" s="561">
        <v>5</v>
      </c>
      <c r="D47" s="911" t="s">
        <v>1147</v>
      </c>
      <c r="E47" s="911"/>
      <c r="F47" s="911"/>
      <c r="G47" s="911"/>
      <c r="H47" s="912"/>
      <c r="I47" s="910"/>
    </row>
    <row r="50" spans="3:12" ht="15.75">
      <c r="C50" s="894" t="s">
        <v>1148</v>
      </c>
      <c r="D50" s="894"/>
      <c r="E50" s="894"/>
      <c r="F50" s="894"/>
      <c r="G50" s="894"/>
      <c r="H50" s="894"/>
      <c r="I50" s="570">
        <f>1+I11+I19+I27+I35+I43</f>
        <v>1.1337499999999998</v>
      </c>
      <c r="L50" s="571"/>
    </row>
  </sheetData>
  <sheetProtection algorithmName="SHA-512" hashValue="m1cg6uDYZpPevaAMOHizMS//js+1Yv5ruYFZ/KI5rup5dzsnW6o1HJIFefmSQnoJU2t10U5+2i0D6oHzogT0bw==" saltValue="H5qLMInvIHqhRNhfoSPUBQ==" spinCount="100000" sheet="1" objects="1" scenarios="1"/>
  <mergeCells count="54">
    <mergeCell ref="C2:G2"/>
    <mergeCell ref="B4:H5"/>
    <mergeCell ref="B7:H7"/>
    <mergeCell ref="B9:B15"/>
    <mergeCell ref="C9:H9"/>
    <mergeCell ref="C10:H10"/>
    <mergeCell ref="D11:G11"/>
    <mergeCell ref="H11:H15"/>
    <mergeCell ref="I11:I15"/>
    <mergeCell ref="D12:G12"/>
    <mergeCell ref="D13:G13"/>
    <mergeCell ref="D14:G14"/>
    <mergeCell ref="D15:G15"/>
    <mergeCell ref="B17:B23"/>
    <mergeCell ref="C17:H17"/>
    <mergeCell ref="C18:H18"/>
    <mergeCell ref="D19:G19"/>
    <mergeCell ref="H19:H23"/>
    <mergeCell ref="I19:I23"/>
    <mergeCell ref="D20:G20"/>
    <mergeCell ref="D21:G21"/>
    <mergeCell ref="D22:G22"/>
    <mergeCell ref="D23:G23"/>
    <mergeCell ref="B25:B31"/>
    <mergeCell ref="C25:H25"/>
    <mergeCell ref="C26:H26"/>
    <mergeCell ref="D27:G27"/>
    <mergeCell ref="H27:H31"/>
    <mergeCell ref="I27:I31"/>
    <mergeCell ref="D28:G28"/>
    <mergeCell ref="D29:G29"/>
    <mergeCell ref="D30:G30"/>
    <mergeCell ref="D31:G31"/>
    <mergeCell ref="B33:B39"/>
    <mergeCell ref="C33:H33"/>
    <mergeCell ref="C34:H34"/>
    <mergeCell ref="D35:G35"/>
    <mergeCell ref="H35:H39"/>
    <mergeCell ref="I35:I39"/>
    <mergeCell ref="D36:G36"/>
    <mergeCell ref="D37:G37"/>
    <mergeCell ref="D38:G38"/>
    <mergeCell ref="D39:G39"/>
    <mergeCell ref="B41:B47"/>
    <mergeCell ref="C41:H41"/>
    <mergeCell ref="C42:H42"/>
    <mergeCell ref="D43:G43"/>
    <mergeCell ref="H43:H47"/>
    <mergeCell ref="C50:H50"/>
    <mergeCell ref="I43:I47"/>
    <mergeCell ref="D44:G44"/>
    <mergeCell ref="D45:G45"/>
    <mergeCell ref="D46:G46"/>
    <mergeCell ref="D47:G47"/>
  </mergeCells>
  <dataValidations count="1">
    <dataValidation type="whole" allowBlank="1" showInputMessage="1" showErrorMessage="1" sqref="H11:H15 H19:H23 H27:H31 H35:H39 H43:H47" xr:uid="{00000000-0002-0000-0F00-000000000000}">
      <formula1>1</formula1>
      <formula2>5</formula2>
    </dataValidation>
  </dataValidations>
  <pageMargins left="0.7" right="0.7" top="0.75" bottom="0.75" header="0.51180555555555496" footer="0.51180555555555496"/>
  <pageSetup firstPageNumber="0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5">
    <tabColor theme="4" tint="-0.499984740745262"/>
  </sheetPr>
  <dimension ref="B1:I50"/>
  <sheetViews>
    <sheetView showGridLines="0" showRowColHeaders="0" zoomScaleNormal="100" workbookViewId="0">
      <selection activeCell="P40" sqref="P40"/>
    </sheetView>
  </sheetViews>
  <sheetFormatPr baseColWidth="10" defaultColWidth="9.140625" defaultRowHeight="15"/>
  <cols>
    <col min="1" max="1" width="2.42578125" customWidth="1"/>
    <col min="2" max="2" width="5.42578125" customWidth="1"/>
    <col min="3" max="3" width="3.85546875" customWidth="1"/>
    <col min="4" max="4" width="13.140625" style="144" customWidth="1"/>
    <col min="5" max="5" width="15.7109375" style="144" customWidth="1"/>
    <col min="6" max="6" width="12.7109375" style="144" customWidth="1"/>
    <col min="7" max="7" width="14" style="144" customWidth="1"/>
    <col min="8" max="8" width="12.85546875" customWidth="1"/>
    <col min="9" max="9" width="15.28515625" customWidth="1"/>
    <col min="10" max="10" width="3.42578125" customWidth="1"/>
    <col min="11" max="11" width="35.28515625" customWidth="1"/>
    <col min="12" max="1025" width="10.42578125" customWidth="1"/>
  </cols>
  <sheetData>
    <row r="1" spans="2:9" ht="15.75">
      <c r="B1" s="552"/>
      <c r="C1" s="552"/>
      <c r="D1" s="553"/>
      <c r="E1" s="553"/>
      <c r="F1" s="553"/>
      <c r="G1" s="553"/>
      <c r="H1" s="552"/>
      <c r="I1" s="552"/>
    </row>
    <row r="2" spans="2:9" ht="15.75">
      <c r="B2" s="552"/>
      <c r="C2" s="907" t="s">
        <v>1110</v>
      </c>
      <c r="D2" s="907"/>
      <c r="E2" s="907"/>
      <c r="F2" s="907"/>
      <c r="G2" s="907"/>
      <c r="H2" s="572">
        <v>0.5</v>
      </c>
      <c r="I2" s="552"/>
    </row>
    <row r="3" spans="2:9" ht="15.75">
      <c r="B3" s="552"/>
      <c r="I3" s="552"/>
    </row>
    <row r="4" spans="2:9" ht="15.75" customHeight="1">
      <c r="B4" s="915" t="s">
        <v>1149</v>
      </c>
      <c r="C4" s="915"/>
      <c r="D4" s="915"/>
      <c r="E4" s="915"/>
      <c r="F4" s="915"/>
      <c r="G4" s="915"/>
      <c r="H4" s="915"/>
      <c r="I4" s="555"/>
    </row>
    <row r="5" spans="2:9" ht="14.45" customHeight="1">
      <c r="B5" s="915"/>
      <c r="C5" s="915"/>
      <c r="D5" s="915"/>
      <c r="E5" s="915"/>
      <c r="F5" s="915"/>
      <c r="G5" s="915"/>
      <c r="H5" s="915"/>
      <c r="I5" s="555"/>
    </row>
    <row r="6" spans="2:9" ht="14.45" customHeight="1">
      <c r="B6" s="555"/>
      <c r="C6" s="555"/>
      <c r="D6" s="555"/>
      <c r="E6" s="555"/>
      <c r="F6" s="555"/>
      <c r="G6" s="555"/>
      <c r="H6" s="555"/>
      <c r="I6" s="555"/>
    </row>
    <row r="7" spans="2:9" ht="24.95" customHeight="1">
      <c r="B7" s="914" t="s">
        <v>1151</v>
      </c>
      <c r="C7" s="914"/>
      <c r="D7" s="914"/>
      <c r="E7" s="914"/>
      <c r="F7" s="914"/>
      <c r="G7" s="914"/>
      <c r="H7" s="914"/>
      <c r="I7" s="555"/>
    </row>
    <row r="8" spans="2:9" ht="15" customHeight="1">
      <c r="B8" s="555"/>
      <c r="C8" s="555"/>
      <c r="D8" s="555"/>
      <c r="E8" s="555"/>
      <c r="F8" s="555"/>
      <c r="G8" s="555"/>
      <c r="H8" s="555"/>
      <c r="I8" s="555"/>
    </row>
    <row r="9" spans="2:9" ht="15.75" customHeight="1">
      <c r="B9" s="898">
        <v>0.1</v>
      </c>
      <c r="C9" s="899" t="s">
        <v>1113</v>
      </c>
      <c r="D9" s="899"/>
      <c r="E9" s="899"/>
      <c r="F9" s="899"/>
      <c r="G9" s="899"/>
      <c r="H9" s="899"/>
      <c r="I9" s="552"/>
    </row>
    <row r="10" spans="2:9" ht="36.950000000000003" customHeight="1">
      <c r="B10" s="898"/>
      <c r="C10" s="900" t="s">
        <v>1114</v>
      </c>
      <c r="D10" s="900"/>
      <c r="E10" s="900"/>
      <c r="F10" s="900"/>
      <c r="G10" s="900"/>
      <c r="H10" s="900"/>
      <c r="I10" s="552"/>
    </row>
    <row r="11" spans="2:9" ht="16.5" customHeight="1">
      <c r="B11" s="898"/>
      <c r="C11" s="556">
        <v>1</v>
      </c>
      <c r="D11" s="903" t="s">
        <v>1115</v>
      </c>
      <c r="E11" s="903"/>
      <c r="F11" s="903"/>
      <c r="G11" s="903"/>
      <c r="H11" s="912">
        <v>1</v>
      </c>
      <c r="I11" s="895">
        <f>IFERROR(VLOOKUP(H11,Factores!$W$3:$X$7,2,0)*B9*$H$2,"Introducir o revisar Valor en Columna H (Valor maximo permitido = 5)")</f>
        <v>5.000000000000001E-3</v>
      </c>
    </row>
    <row r="12" spans="2:9" ht="15" customHeight="1">
      <c r="B12" s="898"/>
      <c r="C12" s="556">
        <v>2</v>
      </c>
      <c r="D12" s="905" t="s">
        <v>1116</v>
      </c>
      <c r="E12" s="905"/>
      <c r="F12" s="905"/>
      <c r="G12" s="905"/>
      <c r="H12" s="912"/>
      <c r="I12" s="895"/>
    </row>
    <row r="13" spans="2:9" ht="15" customHeight="1">
      <c r="B13" s="898"/>
      <c r="C13" s="556">
        <v>3</v>
      </c>
      <c r="D13" s="905" t="s">
        <v>1117</v>
      </c>
      <c r="E13" s="905"/>
      <c r="F13" s="905"/>
      <c r="G13" s="905"/>
      <c r="H13" s="912"/>
      <c r="I13" s="895"/>
    </row>
    <row r="14" spans="2:9" ht="15" customHeight="1">
      <c r="B14" s="898"/>
      <c r="C14" s="556">
        <v>4</v>
      </c>
      <c r="D14" s="905" t="s">
        <v>1118</v>
      </c>
      <c r="E14" s="905"/>
      <c r="F14" s="905"/>
      <c r="G14" s="905"/>
      <c r="H14" s="912"/>
      <c r="I14" s="895"/>
    </row>
    <row r="15" spans="2:9" ht="16.5">
      <c r="B15" s="898"/>
      <c r="C15" s="556">
        <v>5</v>
      </c>
      <c r="D15" s="903" t="s">
        <v>1119</v>
      </c>
      <c r="E15" s="903"/>
      <c r="F15" s="903"/>
      <c r="G15" s="903"/>
      <c r="H15" s="912"/>
      <c r="I15" s="895"/>
    </row>
    <row r="16" spans="2:9" ht="9.9499999999999993" customHeight="1"/>
    <row r="17" spans="2:9" ht="15.75" customHeight="1">
      <c r="B17" s="898">
        <v>0.2</v>
      </c>
      <c r="C17" s="899" t="s">
        <v>1120</v>
      </c>
      <c r="D17" s="899"/>
      <c r="E17" s="899"/>
      <c r="F17" s="899"/>
      <c r="G17" s="899"/>
      <c r="H17" s="899"/>
      <c r="I17" s="559"/>
    </row>
    <row r="18" spans="2:9" ht="31.5" customHeight="1">
      <c r="B18" s="898"/>
      <c r="C18" s="900" t="s">
        <v>1121</v>
      </c>
      <c r="D18" s="900"/>
      <c r="E18" s="900"/>
      <c r="F18" s="900"/>
      <c r="G18" s="900"/>
      <c r="H18" s="900"/>
      <c r="I18" s="559"/>
    </row>
    <row r="19" spans="2:9" ht="16.5" customHeight="1">
      <c r="B19" s="898"/>
      <c r="C19" s="560">
        <v>1</v>
      </c>
      <c r="D19" s="903" t="s">
        <v>1122</v>
      </c>
      <c r="E19" s="903"/>
      <c r="F19" s="903"/>
      <c r="G19" s="903"/>
      <c r="H19" s="912">
        <v>1</v>
      </c>
      <c r="I19" s="895">
        <f>IFERROR(VLOOKUP(H19,Factores!$W$3:$X$7,2,0)*B17*$H$2,"Introducir o revisar Valor en Columna H (Valor maximo permitido = 5)")</f>
        <v>1.0000000000000002E-2</v>
      </c>
    </row>
    <row r="20" spans="2:9" ht="14.45" customHeight="1">
      <c r="B20" s="898"/>
      <c r="C20" s="560">
        <v>2</v>
      </c>
      <c r="D20" s="903" t="s">
        <v>1123</v>
      </c>
      <c r="E20" s="903"/>
      <c r="F20" s="903"/>
      <c r="G20" s="903"/>
      <c r="H20" s="912"/>
      <c r="I20" s="895"/>
    </row>
    <row r="21" spans="2:9" ht="16.5">
      <c r="B21" s="898"/>
      <c r="C21" s="560">
        <v>3</v>
      </c>
      <c r="D21" s="903" t="s">
        <v>1124</v>
      </c>
      <c r="E21" s="903"/>
      <c r="F21" s="903"/>
      <c r="G21" s="903"/>
      <c r="H21" s="912"/>
      <c r="I21" s="895"/>
    </row>
    <row r="22" spans="2:9" ht="15.6" customHeight="1">
      <c r="B22" s="898"/>
      <c r="C22" s="560">
        <v>4</v>
      </c>
      <c r="D22" s="903" t="s">
        <v>1125</v>
      </c>
      <c r="E22" s="903"/>
      <c r="F22" s="903"/>
      <c r="G22" s="903"/>
      <c r="H22" s="912"/>
      <c r="I22" s="895"/>
    </row>
    <row r="23" spans="2:9" ht="15" customHeight="1">
      <c r="B23" s="898"/>
      <c r="C23" s="560">
        <v>5</v>
      </c>
      <c r="D23" s="905" t="s">
        <v>1126</v>
      </c>
      <c r="E23" s="905"/>
      <c r="F23" s="905"/>
      <c r="G23" s="905"/>
      <c r="H23" s="912"/>
      <c r="I23" s="895"/>
    </row>
    <row r="24" spans="2:9" ht="9.9499999999999993" customHeight="1"/>
    <row r="25" spans="2:9" ht="15.75" customHeight="1">
      <c r="B25" s="898">
        <v>0.2</v>
      </c>
      <c r="C25" s="899" t="s">
        <v>1127</v>
      </c>
      <c r="D25" s="899"/>
      <c r="E25" s="899"/>
      <c r="F25" s="899"/>
      <c r="G25" s="899"/>
      <c r="H25" s="899"/>
      <c r="I25" s="559"/>
    </row>
    <row r="26" spans="2:9" ht="41.1" customHeight="1">
      <c r="B26" s="898"/>
      <c r="C26" s="900" t="s">
        <v>1128</v>
      </c>
      <c r="D26" s="900"/>
      <c r="E26" s="900"/>
      <c r="F26" s="900"/>
      <c r="G26" s="900"/>
      <c r="H26" s="900"/>
      <c r="I26" s="559"/>
    </row>
    <row r="27" spans="2:9" ht="16.5" customHeight="1">
      <c r="B27" s="898"/>
      <c r="C27" s="556">
        <v>1</v>
      </c>
      <c r="D27" s="903" t="s">
        <v>1129</v>
      </c>
      <c r="E27" s="903"/>
      <c r="F27" s="903"/>
      <c r="G27" s="903"/>
      <c r="H27" s="912">
        <v>1</v>
      </c>
      <c r="I27" s="895">
        <f>IFERROR(VLOOKUP(H27,Factores!$W$3:$X$7,2,0)*B25*$H$2,"Introducir o revisar Valor en Columna H (Valor maximo permitido = 5)")</f>
        <v>1.0000000000000002E-2</v>
      </c>
    </row>
    <row r="28" spans="2:9" ht="16.5">
      <c r="B28" s="898"/>
      <c r="C28" s="556">
        <v>2</v>
      </c>
      <c r="D28" s="903" t="s">
        <v>1130</v>
      </c>
      <c r="E28" s="903"/>
      <c r="F28" s="903"/>
      <c r="G28" s="903"/>
      <c r="H28" s="912"/>
      <c r="I28" s="895"/>
    </row>
    <row r="29" spans="2:9" ht="16.5">
      <c r="B29" s="898"/>
      <c r="C29" s="556">
        <v>3</v>
      </c>
      <c r="D29" s="903" t="s">
        <v>1131</v>
      </c>
      <c r="E29" s="903"/>
      <c r="F29" s="903"/>
      <c r="G29" s="903"/>
      <c r="H29" s="912"/>
      <c r="I29" s="895"/>
    </row>
    <row r="30" spans="2:9" ht="16.5">
      <c r="B30" s="898"/>
      <c r="C30" s="556">
        <v>4</v>
      </c>
      <c r="D30" s="903" t="s">
        <v>1132</v>
      </c>
      <c r="E30" s="903"/>
      <c r="F30" s="903"/>
      <c r="G30" s="903"/>
      <c r="H30" s="912"/>
      <c r="I30" s="895"/>
    </row>
    <row r="31" spans="2:9" ht="16.5">
      <c r="B31" s="898"/>
      <c r="C31" s="556">
        <v>5</v>
      </c>
      <c r="D31" s="904" t="s">
        <v>1133</v>
      </c>
      <c r="E31" s="904"/>
      <c r="F31" s="904"/>
      <c r="G31" s="904"/>
      <c r="H31" s="912"/>
      <c r="I31" s="895"/>
    </row>
    <row r="32" spans="2:9" ht="9.9499999999999993" customHeight="1"/>
    <row r="33" spans="2:9" ht="15.75" customHeight="1">
      <c r="B33" s="898">
        <v>0.25</v>
      </c>
      <c r="C33" s="899" t="s">
        <v>1134</v>
      </c>
      <c r="D33" s="899"/>
      <c r="E33" s="899"/>
      <c r="F33" s="899"/>
      <c r="G33" s="899"/>
      <c r="H33" s="899"/>
      <c r="I33" s="559"/>
    </row>
    <row r="34" spans="2:9" ht="25.5" customHeight="1">
      <c r="B34" s="898"/>
      <c r="C34" s="900" t="s">
        <v>1135</v>
      </c>
      <c r="D34" s="900"/>
      <c r="E34" s="900"/>
      <c r="F34" s="900"/>
      <c r="G34" s="900"/>
      <c r="H34" s="900"/>
      <c r="I34" s="559"/>
    </row>
    <row r="35" spans="2:9" ht="15.75" customHeight="1">
      <c r="B35" s="898"/>
      <c r="C35" s="560">
        <v>1</v>
      </c>
      <c r="D35" s="896" t="s">
        <v>1136</v>
      </c>
      <c r="E35" s="896"/>
      <c r="F35" s="896"/>
      <c r="G35" s="896"/>
      <c r="H35" s="912">
        <v>1</v>
      </c>
      <c r="I35" s="895">
        <f>IFERROR(VLOOKUP(H35,Factores!$W$3:$X$7,2,0)*B33*$H$2,"Introducir o revisar Valor en Columna H (Valor maximo permitido = 5)")</f>
        <v>1.2500000000000001E-2</v>
      </c>
    </row>
    <row r="36" spans="2:9" ht="15.75">
      <c r="B36" s="898"/>
      <c r="C36" s="560">
        <v>2</v>
      </c>
      <c r="D36" s="896" t="s">
        <v>1137</v>
      </c>
      <c r="E36" s="896"/>
      <c r="F36" s="896"/>
      <c r="G36" s="896"/>
      <c r="H36" s="912"/>
      <c r="I36" s="895"/>
    </row>
    <row r="37" spans="2:9" ht="15.75">
      <c r="B37" s="898"/>
      <c r="C37" s="560">
        <v>3</v>
      </c>
      <c r="D37" s="896" t="s">
        <v>1138</v>
      </c>
      <c r="E37" s="896"/>
      <c r="F37" s="896"/>
      <c r="G37" s="896"/>
      <c r="H37" s="912"/>
      <c r="I37" s="895"/>
    </row>
    <row r="38" spans="2:9" ht="15.75">
      <c r="B38" s="898"/>
      <c r="C38" s="560">
        <v>4</v>
      </c>
      <c r="D38" s="896" t="s">
        <v>1139</v>
      </c>
      <c r="E38" s="896"/>
      <c r="F38" s="896"/>
      <c r="G38" s="896"/>
      <c r="H38" s="912"/>
      <c r="I38" s="895"/>
    </row>
    <row r="39" spans="2:9" ht="15.6" customHeight="1">
      <c r="B39" s="898"/>
      <c r="C39" s="560">
        <v>5</v>
      </c>
      <c r="D39" s="902" t="s">
        <v>1140</v>
      </c>
      <c r="E39" s="902"/>
      <c r="F39" s="902"/>
      <c r="G39" s="902"/>
      <c r="H39" s="912"/>
      <c r="I39" s="895"/>
    </row>
    <row r="40" spans="2:9" ht="15.75">
      <c r="B40" s="552"/>
      <c r="C40" s="552"/>
      <c r="D40" s="553"/>
      <c r="E40" s="553"/>
      <c r="F40" s="553"/>
      <c r="G40" s="553"/>
      <c r="H40" s="552"/>
      <c r="I40" s="552"/>
    </row>
    <row r="41" spans="2:9" ht="15.75">
      <c r="B41" s="898">
        <v>0.25</v>
      </c>
      <c r="C41" s="899" t="s">
        <v>1141</v>
      </c>
      <c r="D41" s="899"/>
      <c r="E41" s="899"/>
      <c r="F41" s="899"/>
      <c r="G41" s="899"/>
      <c r="H41" s="899"/>
      <c r="I41" s="559"/>
    </row>
    <row r="42" spans="2:9" ht="24.95" customHeight="1">
      <c r="B42" s="898"/>
      <c r="C42" s="900" t="s">
        <v>1142</v>
      </c>
      <c r="D42" s="900"/>
      <c r="E42" s="900"/>
      <c r="F42" s="900"/>
      <c r="G42" s="900"/>
      <c r="H42" s="900"/>
      <c r="I42" s="559"/>
    </row>
    <row r="43" spans="2:9" ht="15.75" customHeight="1">
      <c r="B43" s="898"/>
      <c r="C43" s="560">
        <v>1</v>
      </c>
      <c r="D43" s="896" t="s">
        <v>1143</v>
      </c>
      <c r="E43" s="896"/>
      <c r="F43" s="896"/>
      <c r="G43" s="896"/>
      <c r="H43" s="912">
        <v>2</v>
      </c>
      <c r="I43" s="895">
        <f>IFERROR(VLOOKUP(H43,Factores!$W$3:$X$7,2,0)*B41*$H$2,"Introducir o revisar Valor en Columna H (Valor maximo permitido = 5)")</f>
        <v>3.125E-2</v>
      </c>
    </row>
    <row r="44" spans="2:9" ht="15.75">
      <c r="B44" s="898"/>
      <c r="C44" s="560">
        <v>2</v>
      </c>
      <c r="D44" s="896" t="s">
        <v>1144</v>
      </c>
      <c r="E44" s="896"/>
      <c r="F44" s="896"/>
      <c r="G44" s="896"/>
      <c r="H44" s="912"/>
      <c r="I44" s="895"/>
    </row>
    <row r="45" spans="2:9" ht="15.75">
      <c r="B45" s="898"/>
      <c r="C45" s="560">
        <v>3</v>
      </c>
      <c r="D45" s="896" t="s">
        <v>1145</v>
      </c>
      <c r="E45" s="896"/>
      <c r="F45" s="896"/>
      <c r="G45" s="896"/>
      <c r="H45" s="912"/>
      <c r="I45" s="895"/>
    </row>
    <row r="46" spans="2:9" ht="15.75">
      <c r="B46" s="898"/>
      <c r="C46" s="560">
        <v>4</v>
      </c>
      <c r="D46" s="896" t="s">
        <v>1146</v>
      </c>
      <c r="E46" s="896"/>
      <c r="F46" s="896"/>
      <c r="G46" s="896"/>
      <c r="H46" s="912"/>
      <c r="I46" s="895"/>
    </row>
    <row r="47" spans="2:9" ht="15.6" customHeight="1">
      <c r="B47" s="898"/>
      <c r="C47" s="561">
        <v>5</v>
      </c>
      <c r="D47" s="897" t="s">
        <v>1147</v>
      </c>
      <c r="E47" s="897"/>
      <c r="F47" s="897"/>
      <c r="G47" s="897"/>
      <c r="H47" s="912"/>
      <c r="I47" s="895"/>
    </row>
    <row r="50" spans="3:9" ht="15.75">
      <c r="C50" s="894" t="s">
        <v>1148</v>
      </c>
      <c r="D50" s="894"/>
      <c r="E50" s="894"/>
      <c r="F50" s="894"/>
      <c r="G50" s="894"/>
      <c r="H50" s="894"/>
      <c r="I50" s="562">
        <f>1+I11+I19+I27+I35+I43</f>
        <v>1.0687499999999999</v>
      </c>
    </row>
  </sheetData>
  <sheetProtection algorithmName="SHA-512" hashValue="PB0n3WEi8BRf6mELA513ojS4eZcD+2M13T8GMUS581/sIaaBdXUVS4tpIcpArM4xLVzqO9hsjg+PMB8kw94fcw==" saltValue="VQmA/Gj2uWDwS+l38s7jfg==" spinCount="100000" sheet="1" objects="1" scenarios="1"/>
  <mergeCells count="54">
    <mergeCell ref="C2:G2"/>
    <mergeCell ref="B4:H5"/>
    <mergeCell ref="B7:H7"/>
    <mergeCell ref="B9:B15"/>
    <mergeCell ref="C9:H9"/>
    <mergeCell ref="C10:H10"/>
    <mergeCell ref="D11:G11"/>
    <mergeCell ref="H11:H15"/>
    <mergeCell ref="I11:I15"/>
    <mergeCell ref="D12:G12"/>
    <mergeCell ref="D13:G13"/>
    <mergeCell ref="D14:G14"/>
    <mergeCell ref="D15:G15"/>
    <mergeCell ref="B17:B23"/>
    <mergeCell ref="C17:H17"/>
    <mergeCell ref="C18:H18"/>
    <mergeCell ref="D19:G19"/>
    <mergeCell ref="H19:H23"/>
    <mergeCell ref="I19:I23"/>
    <mergeCell ref="D20:G20"/>
    <mergeCell ref="D21:G21"/>
    <mergeCell ref="D22:G22"/>
    <mergeCell ref="D23:G23"/>
    <mergeCell ref="B25:B31"/>
    <mergeCell ref="C25:H25"/>
    <mergeCell ref="C26:H26"/>
    <mergeCell ref="D27:G27"/>
    <mergeCell ref="H27:H31"/>
    <mergeCell ref="I27:I31"/>
    <mergeCell ref="D28:G28"/>
    <mergeCell ref="D29:G29"/>
    <mergeCell ref="D30:G30"/>
    <mergeCell ref="D31:G31"/>
    <mergeCell ref="B33:B39"/>
    <mergeCell ref="C33:H33"/>
    <mergeCell ref="C34:H34"/>
    <mergeCell ref="D35:G35"/>
    <mergeCell ref="H35:H39"/>
    <mergeCell ref="I35:I39"/>
    <mergeCell ref="D36:G36"/>
    <mergeCell ref="D37:G37"/>
    <mergeCell ref="D38:G38"/>
    <mergeCell ref="D39:G39"/>
    <mergeCell ref="B41:B47"/>
    <mergeCell ref="C41:H41"/>
    <mergeCell ref="C42:H42"/>
    <mergeCell ref="D43:G43"/>
    <mergeCell ref="H43:H47"/>
    <mergeCell ref="C50:H50"/>
    <mergeCell ref="I43:I47"/>
    <mergeCell ref="D44:G44"/>
    <mergeCell ref="D45:G45"/>
    <mergeCell ref="D46:G46"/>
    <mergeCell ref="D47:G47"/>
  </mergeCells>
  <dataValidations count="1">
    <dataValidation type="whole" allowBlank="1" showInputMessage="1" showErrorMessage="1" sqref="H11:H15 H19:H23 H27:H31 H35:H39 H43:H47" xr:uid="{00000000-0002-0000-1000-000000000000}">
      <formula1>1</formula1>
      <formula2>5</formula2>
    </dataValidation>
  </dataValidations>
  <pageMargins left="0.7" right="0.7" top="0.75" bottom="0.75" header="0.51180555555555496" footer="0.51180555555555496"/>
  <pageSetup firstPageNumber="0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6">
    <tabColor theme="4" tint="-0.499984740745262"/>
  </sheetPr>
  <dimension ref="B1:I49"/>
  <sheetViews>
    <sheetView showGridLines="0" showRowColHeaders="0" zoomScaleNormal="100" workbookViewId="0">
      <selection activeCell="P40" sqref="P40"/>
    </sheetView>
  </sheetViews>
  <sheetFormatPr baseColWidth="10" defaultColWidth="9.140625" defaultRowHeight="15"/>
  <cols>
    <col min="1" max="1" width="2.42578125" customWidth="1"/>
    <col min="2" max="2" width="5.42578125" customWidth="1"/>
    <col min="3" max="3" width="3.85546875" customWidth="1"/>
    <col min="4" max="4" width="13.140625" style="144" customWidth="1"/>
    <col min="5" max="5" width="15.7109375" style="144" customWidth="1"/>
    <col min="6" max="6" width="12.7109375" style="144" customWidth="1"/>
    <col min="7" max="7" width="14" style="144" customWidth="1"/>
    <col min="8" max="8" width="12.85546875" customWidth="1"/>
    <col min="9" max="9" width="15.28515625" customWidth="1"/>
    <col min="10" max="10" width="3.42578125" customWidth="1"/>
    <col min="11" max="11" width="35.28515625" customWidth="1"/>
    <col min="12" max="1025" width="10.42578125" customWidth="1"/>
  </cols>
  <sheetData>
    <row r="1" spans="2:9" ht="15.75">
      <c r="B1" s="552"/>
      <c r="C1" s="552"/>
      <c r="D1" s="553"/>
      <c r="E1" s="553"/>
      <c r="F1" s="553"/>
      <c r="G1" s="553"/>
      <c r="H1" s="552"/>
      <c r="I1" s="552"/>
    </row>
    <row r="2" spans="2:9" ht="15.75">
      <c r="B2" s="552"/>
      <c r="C2" s="907" t="s">
        <v>1110</v>
      </c>
      <c r="D2" s="907"/>
      <c r="E2" s="907"/>
      <c r="F2" s="907"/>
      <c r="G2" s="907"/>
      <c r="H2" s="572">
        <v>0.5</v>
      </c>
      <c r="I2" s="552"/>
    </row>
    <row r="3" spans="2:9" ht="15.75" customHeight="1">
      <c r="B3" s="915" t="s">
        <v>1149</v>
      </c>
      <c r="C3" s="915"/>
      <c r="D3" s="915"/>
      <c r="E3" s="915"/>
      <c r="F3" s="915"/>
      <c r="G3" s="915"/>
      <c r="H3" s="915"/>
      <c r="I3" s="555"/>
    </row>
    <row r="4" spans="2:9" ht="14.45" customHeight="1">
      <c r="B4" s="915"/>
      <c r="C4" s="915"/>
      <c r="D4" s="915"/>
      <c r="E4" s="915"/>
      <c r="F4" s="915"/>
      <c r="G4" s="915"/>
      <c r="H4" s="915"/>
      <c r="I4" s="555"/>
    </row>
    <row r="5" spans="2:9" ht="14.45" customHeight="1">
      <c r="B5" s="555"/>
      <c r="C5" s="555"/>
      <c r="D5" s="555"/>
      <c r="E5" s="555"/>
      <c r="F5" s="555"/>
      <c r="G5" s="555"/>
      <c r="H5" s="555"/>
      <c r="I5" s="555"/>
    </row>
    <row r="6" spans="2:9" ht="14.45" customHeight="1">
      <c r="B6" s="914" t="s">
        <v>1152</v>
      </c>
      <c r="C6" s="914"/>
      <c r="D6" s="914"/>
      <c r="E6" s="914"/>
      <c r="F6" s="914"/>
      <c r="G6" s="914"/>
      <c r="H6" s="914"/>
      <c r="I6" s="555"/>
    </row>
    <row r="7" spans="2:9" ht="15" customHeight="1">
      <c r="B7" s="555"/>
      <c r="C7" s="555"/>
      <c r="D7" s="555"/>
      <c r="E7" s="555"/>
      <c r="F7" s="555"/>
      <c r="G7" s="555"/>
      <c r="H7" s="555"/>
      <c r="I7" s="555"/>
    </row>
    <row r="8" spans="2:9" ht="15.75" customHeight="1">
      <c r="B8" s="898">
        <v>0.1</v>
      </c>
      <c r="C8" s="899" t="s">
        <v>1113</v>
      </c>
      <c r="D8" s="899"/>
      <c r="E8" s="899"/>
      <c r="F8" s="899"/>
      <c r="G8" s="899"/>
      <c r="H8" s="899"/>
      <c r="I8" s="552"/>
    </row>
    <row r="9" spans="2:9" ht="36.950000000000003" customHeight="1">
      <c r="B9" s="898"/>
      <c r="C9" s="900" t="s">
        <v>1114</v>
      </c>
      <c r="D9" s="900"/>
      <c r="E9" s="900"/>
      <c r="F9" s="900"/>
      <c r="G9" s="900"/>
      <c r="H9" s="900"/>
      <c r="I9" s="552"/>
    </row>
    <row r="10" spans="2:9" ht="16.5" customHeight="1">
      <c r="B10" s="898"/>
      <c r="C10" s="556">
        <v>1</v>
      </c>
      <c r="D10" s="903" t="s">
        <v>1115</v>
      </c>
      <c r="E10" s="903"/>
      <c r="F10" s="903"/>
      <c r="G10" s="903"/>
      <c r="H10" s="912">
        <v>1</v>
      </c>
      <c r="I10" s="895">
        <f>IFERROR(VLOOKUP(H10,Factores!$W$3:$X$7,2,0)*B8*$H$2,"Introducir o revisar Valor en Columna H (Valor maximo permitido = 5)")</f>
        <v>5.000000000000001E-3</v>
      </c>
    </row>
    <row r="11" spans="2:9" ht="15" customHeight="1">
      <c r="B11" s="898"/>
      <c r="C11" s="556">
        <v>2</v>
      </c>
      <c r="D11" s="905" t="s">
        <v>1116</v>
      </c>
      <c r="E11" s="905"/>
      <c r="F11" s="905"/>
      <c r="G11" s="905"/>
      <c r="H11" s="912"/>
      <c r="I11" s="895"/>
    </row>
    <row r="12" spans="2:9" ht="15" customHeight="1">
      <c r="B12" s="898"/>
      <c r="C12" s="556">
        <v>3</v>
      </c>
      <c r="D12" s="905" t="s">
        <v>1117</v>
      </c>
      <c r="E12" s="905"/>
      <c r="F12" s="905"/>
      <c r="G12" s="905"/>
      <c r="H12" s="912"/>
      <c r="I12" s="895"/>
    </row>
    <row r="13" spans="2:9" ht="15" customHeight="1">
      <c r="B13" s="898"/>
      <c r="C13" s="556">
        <v>4</v>
      </c>
      <c r="D13" s="905" t="s">
        <v>1118</v>
      </c>
      <c r="E13" s="905"/>
      <c r="F13" s="905"/>
      <c r="G13" s="905"/>
      <c r="H13" s="912"/>
      <c r="I13" s="895"/>
    </row>
    <row r="14" spans="2:9" ht="16.5">
      <c r="B14" s="898"/>
      <c r="C14" s="556">
        <v>5</v>
      </c>
      <c r="D14" s="903" t="s">
        <v>1119</v>
      </c>
      <c r="E14" s="903"/>
      <c r="F14" s="903"/>
      <c r="G14" s="903"/>
      <c r="H14" s="912"/>
      <c r="I14" s="895"/>
    </row>
    <row r="15" spans="2:9" ht="9.9499999999999993" customHeight="1"/>
    <row r="16" spans="2:9" ht="15.75" customHeight="1">
      <c r="B16" s="898">
        <v>0.2</v>
      </c>
      <c r="C16" s="899" t="s">
        <v>1120</v>
      </c>
      <c r="D16" s="899"/>
      <c r="E16" s="899"/>
      <c r="F16" s="899"/>
      <c r="G16" s="899"/>
      <c r="H16" s="899"/>
      <c r="I16" s="559"/>
    </row>
    <row r="17" spans="2:9" ht="31.5" customHeight="1">
      <c r="B17" s="898"/>
      <c r="C17" s="900" t="s">
        <v>1121</v>
      </c>
      <c r="D17" s="900"/>
      <c r="E17" s="900"/>
      <c r="F17" s="900"/>
      <c r="G17" s="900"/>
      <c r="H17" s="900"/>
      <c r="I17" s="559"/>
    </row>
    <row r="18" spans="2:9" ht="16.5" customHeight="1">
      <c r="B18" s="898"/>
      <c r="C18" s="560">
        <v>1</v>
      </c>
      <c r="D18" s="903" t="s">
        <v>1122</v>
      </c>
      <c r="E18" s="903"/>
      <c r="F18" s="903"/>
      <c r="G18" s="903"/>
      <c r="H18" s="912">
        <v>2</v>
      </c>
      <c r="I18" s="895">
        <f>IFERROR(VLOOKUP(H18,Factores!$W$3:$X$7,2,0)*B16*$H$2,"Introducir o revisar Valor en Columna H (Valor maximo permitido = 5)")</f>
        <v>2.5000000000000001E-2</v>
      </c>
    </row>
    <row r="19" spans="2:9" ht="14.45" customHeight="1">
      <c r="B19" s="898"/>
      <c r="C19" s="560">
        <v>2</v>
      </c>
      <c r="D19" s="903" t="s">
        <v>1123</v>
      </c>
      <c r="E19" s="903"/>
      <c r="F19" s="903"/>
      <c r="G19" s="903"/>
      <c r="H19" s="912"/>
      <c r="I19" s="895"/>
    </row>
    <row r="20" spans="2:9" ht="16.5">
      <c r="B20" s="898"/>
      <c r="C20" s="560">
        <v>3</v>
      </c>
      <c r="D20" s="903" t="s">
        <v>1124</v>
      </c>
      <c r="E20" s="903"/>
      <c r="F20" s="903"/>
      <c r="G20" s="903"/>
      <c r="H20" s="912"/>
      <c r="I20" s="895"/>
    </row>
    <row r="21" spans="2:9" ht="15.6" customHeight="1">
      <c r="B21" s="898"/>
      <c r="C21" s="560">
        <v>4</v>
      </c>
      <c r="D21" s="903" t="s">
        <v>1125</v>
      </c>
      <c r="E21" s="903"/>
      <c r="F21" s="903"/>
      <c r="G21" s="903"/>
      <c r="H21" s="912"/>
      <c r="I21" s="895"/>
    </row>
    <row r="22" spans="2:9" ht="15" customHeight="1">
      <c r="B22" s="898"/>
      <c r="C22" s="560">
        <v>5</v>
      </c>
      <c r="D22" s="905" t="s">
        <v>1126</v>
      </c>
      <c r="E22" s="905"/>
      <c r="F22" s="905"/>
      <c r="G22" s="905"/>
      <c r="H22" s="912"/>
      <c r="I22" s="895"/>
    </row>
    <row r="23" spans="2:9" ht="9.9499999999999993" customHeight="1"/>
    <row r="24" spans="2:9" ht="15.75" customHeight="1">
      <c r="B24" s="898">
        <v>0.2</v>
      </c>
      <c r="C24" s="899" t="s">
        <v>1127</v>
      </c>
      <c r="D24" s="899"/>
      <c r="E24" s="899"/>
      <c r="F24" s="899"/>
      <c r="G24" s="899"/>
      <c r="H24" s="899"/>
      <c r="I24" s="559"/>
    </row>
    <row r="25" spans="2:9" ht="41.1" customHeight="1">
      <c r="B25" s="898"/>
      <c r="C25" s="900" t="s">
        <v>1128</v>
      </c>
      <c r="D25" s="900"/>
      <c r="E25" s="900"/>
      <c r="F25" s="900"/>
      <c r="G25" s="900"/>
      <c r="H25" s="900"/>
      <c r="I25" s="559"/>
    </row>
    <row r="26" spans="2:9" ht="16.5" customHeight="1">
      <c r="B26" s="898"/>
      <c r="C26" s="556">
        <v>1</v>
      </c>
      <c r="D26" s="903" t="s">
        <v>1129</v>
      </c>
      <c r="E26" s="903"/>
      <c r="F26" s="903"/>
      <c r="G26" s="903"/>
      <c r="H26" s="912">
        <v>2</v>
      </c>
      <c r="I26" s="895">
        <f>IFERROR(VLOOKUP(H26,Factores!$W$3:$X$7,2,0)*B24*$H$2,"Introducir o revisar Valor en Columna H (Valor maximo permitido = 5)")</f>
        <v>2.5000000000000001E-2</v>
      </c>
    </row>
    <row r="27" spans="2:9" ht="16.5">
      <c r="B27" s="898"/>
      <c r="C27" s="556">
        <v>2</v>
      </c>
      <c r="D27" s="903" t="s">
        <v>1130</v>
      </c>
      <c r="E27" s="903"/>
      <c r="F27" s="903"/>
      <c r="G27" s="903"/>
      <c r="H27" s="912"/>
      <c r="I27" s="895"/>
    </row>
    <row r="28" spans="2:9" ht="16.5">
      <c r="B28" s="898"/>
      <c r="C28" s="556">
        <v>3</v>
      </c>
      <c r="D28" s="903" t="s">
        <v>1131</v>
      </c>
      <c r="E28" s="903"/>
      <c r="F28" s="903"/>
      <c r="G28" s="903"/>
      <c r="H28" s="912"/>
      <c r="I28" s="895"/>
    </row>
    <row r="29" spans="2:9" ht="16.5">
      <c r="B29" s="898"/>
      <c r="C29" s="556">
        <v>4</v>
      </c>
      <c r="D29" s="903" t="s">
        <v>1132</v>
      </c>
      <c r="E29" s="903"/>
      <c r="F29" s="903"/>
      <c r="G29" s="903"/>
      <c r="H29" s="912"/>
      <c r="I29" s="895"/>
    </row>
    <row r="30" spans="2:9" ht="16.5">
      <c r="B30" s="898"/>
      <c r="C30" s="556">
        <v>5</v>
      </c>
      <c r="D30" s="904" t="s">
        <v>1133</v>
      </c>
      <c r="E30" s="904"/>
      <c r="F30" s="904"/>
      <c r="G30" s="904"/>
      <c r="H30" s="912"/>
      <c r="I30" s="895"/>
    </row>
    <row r="31" spans="2:9" ht="9.9499999999999993" customHeight="1"/>
    <row r="32" spans="2:9" ht="15.75" customHeight="1">
      <c r="B32" s="898">
        <v>0.25</v>
      </c>
      <c r="C32" s="899" t="s">
        <v>1134</v>
      </c>
      <c r="D32" s="899"/>
      <c r="E32" s="899"/>
      <c r="F32" s="899"/>
      <c r="G32" s="899"/>
      <c r="H32" s="899"/>
      <c r="I32" s="559"/>
    </row>
    <row r="33" spans="2:9" ht="25.5" customHeight="1">
      <c r="B33" s="898"/>
      <c r="C33" s="900" t="s">
        <v>1135</v>
      </c>
      <c r="D33" s="900"/>
      <c r="E33" s="900"/>
      <c r="F33" s="900"/>
      <c r="G33" s="900"/>
      <c r="H33" s="900"/>
      <c r="I33" s="559"/>
    </row>
    <row r="34" spans="2:9" ht="15.75" customHeight="1">
      <c r="B34" s="898"/>
      <c r="C34" s="560">
        <v>1</v>
      </c>
      <c r="D34" s="896" t="s">
        <v>1136</v>
      </c>
      <c r="E34" s="896"/>
      <c r="F34" s="896"/>
      <c r="G34" s="896"/>
      <c r="H34" s="912">
        <v>2</v>
      </c>
      <c r="I34" s="895">
        <f>IFERROR(VLOOKUP(H34,Factores!$W$3:$X$7,2,0)*B32*$H$2,"Introducir o revisar Valor en Columna H (Valor maximo permitido = 5)")</f>
        <v>3.125E-2</v>
      </c>
    </row>
    <row r="35" spans="2:9" ht="15.75">
      <c r="B35" s="898"/>
      <c r="C35" s="560">
        <v>2</v>
      </c>
      <c r="D35" s="896" t="s">
        <v>1137</v>
      </c>
      <c r="E35" s="896"/>
      <c r="F35" s="896"/>
      <c r="G35" s="896"/>
      <c r="H35" s="912"/>
      <c r="I35" s="895"/>
    </row>
    <row r="36" spans="2:9" ht="15.75">
      <c r="B36" s="898"/>
      <c r="C36" s="560">
        <v>3</v>
      </c>
      <c r="D36" s="896" t="s">
        <v>1138</v>
      </c>
      <c r="E36" s="896"/>
      <c r="F36" s="896"/>
      <c r="G36" s="896"/>
      <c r="H36" s="912"/>
      <c r="I36" s="895"/>
    </row>
    <row r="37" spans="2:9" ht="15.75">
      <c r="B37" s="898"/>
      <c r="C37" s="560">
        <v>4</v>
      </c>
      <c r="D37" s="896" t="s">
        <v>1139</v>
      </c>
      <c r="E37" s="896"/>
      <c r="F37" s="896"/>
      <c r="G37" s="896"/>
      <c r="H37" s="912"/>
      <c r="I37" s="895"/>
    </row>
    <row r="38" spans="2:9" ht="15.6" customHeight="1">
      <c r="B38" s="898"/>
      <c r="C38" s="560">
        <v>5</v>
      </c>
      <c r="D38" s="902" t="s">
        <v>1140</v>
      </c>
      <c r="E38" s="902"/>
      <c r="F38" s="902"/>
      <c r="G38" s="902"/>
      <c r="H38" s="912"/>
      <c r="I38" s="895"/>
    </row>
    <row r="39" spans="2:9" ht="15.75">
      <c r="B39" s="552"/>
      <c r="C39" s="552"/>
      <c r="D39" s="553"/>
      <c r="E39" s="553"/>
      <c r="F39" s="553"/>
      <c r="G39" s="553"/>
      <c r="H39" s="552"/>
      <c r="I39" s="552"/>
    </row>
    <row r="40" spans="2:9" ht="15.75">
      <c r="B40" s="898">
        <v>0.25</v>
      </c>
      <c r="C40" s="899" t="s">
        <v>1141</v>
      </c>
      <c r="D40" s="899"/>
      <c r="E40" s="899"/>
      <c r="F40" s="899"/>
      <c r="G40" s="899"/>
      <c r="H40" s="899"/>
      <c r="I40" s="559"/>
    </row>
    <row r="41" spans="2:9" ht="24.95" customHeight="1">
      <c r="B41" s="898"/>
      <c r="C41" s="900" t="s">
        <v>1142</v>
      </c>
      <c r="D41" s="900"/>
      <c r="E41" s="900"/>
      <c r="F41" s="900"/>
      <c r="G41" s="900"/>
      <c r="H41" s="900"/>
      <c r="I41" s="559"/>
    </row>
    <row r="42" spans="2:9" ht="15.75" customHeight="1">
      <c r="B42" s="898"/>
      <c r="C42" s="560">
        <v>1</v>
      </c>
      <c r="D42" s="896" t="s">
        <v>1143</v>
      </c>
      <c r="E42" s="896"/>
      <c r="F42" s="896"/>
      <c r="G42" s="896"/>
      <c r="H42" s="912">
        <v>2</v>
      </c>
      <c r="I42" s="895">
        <f>IFERROR(VLOOKUP(H42,Factores!$W$3:$X$7,2,0)*B40*$H$2,"Introducir o revisar Valor en Columna H (Valor maximo permitido = 5)")</f>
        <v>3.125E-2</v>
      </c>
    </row>
    <row r="43" spans="2:9" ht="15.75">
      <c r="B43" s="898"/>
      <c r="C43" s="560">
        <v>2</v>
      </c>
      <c r="D43" s="896" t="s">
        <v>1144</v>
      </c>
      <c r="E43" s="896"/>
      <c r="F43" s="896"/>
      <c r="G43" s="896"/>
      <c r="H43" s="912"/>
      <c r="I43" s="895"/>
    </row>
    <row r="44" spans="2:9" ht="15.75">
      <c r="B44" s="898"/>
      <c r="C44" s="560">
        <v>3</v>
      </c>
      <c r="D44" s="896" t="s">
        <v>1145</v>
      </c>
      <c r="E44" s="896"/>
      <c r="F44" s="896"/>
      <c r="G44" s="896"/>
      <c r="H44" s="912"/>
      <c r="I44" s="895"/>
    </row>
    <row r="45" spans="2:9" ht="15.75">
      <c r="B45" s="898"/>
      <c r="C45" s="560">
        <v>4</v>
      </c>
      <c r="D45" s="896" t="s">
        <v>1146</v>
      </c>
      <c r="E45" s="896"/>
      <c r="F45" s="896"/>
      <c r="G45" s="896"/>
      <c r="H45" s="912"/>
      <c r="I45" s="895"/>
    </row>
    <row r="46" spans="2:9" ht="15.6" customHeight="1">
      <c r="B46" s="898"/>
      <c r="C46" s="561">
        <v>5</v>
      </c>
      <c r="D46" s="897" t="s">
        <v>1147</v>
      </c>
      <c r="E46" s="897"/>
      <c r="F46" s="897"/>
      <c r="G46" s="897"/>
      <c r="H46" s="912"/>
      <c r="I46" s="895"/>
    </row>
    <row r="49" spans="3:9" ht="15.75">
      <c r="C49" s="894" t="s">
        <v>1148</v>
      </c>
      <c r="D49" s="894"/>
      <c r="E49" s="894"/>
      <c r="F49" s="894"/>
      <c r="G49" s="894"/>
      <c r="H49" s="894"/>
      <c r="I49" s="562">
        <f>1+I10+I18+I26+I34+I42</f>
        <v>1.1174999999999997</v>
      </c>
    </row>
  </sheetData>
  <sheetProtection algorithmName="SHA-512" hashValue="IQWoRIUoc5qegZR/wCfAmmPBla+IT2Ezd3B19nNorkw5SAZ0BOxpDC/6egzOIc6Uvm3WLq9xuRiufjqOR0gZpg==" saltValue="OGUqNKPZLqTZprzyi2W4nQ==" spinCount="100000" sheet="1" objects="1" scenarios="1"/>
  <mergeCells count="54">
    <mergeCell ref="C2:G2"/>
    <mergeCell ref="B3:H4"/>
    <mergeCell ref="B6:H6"/>
    <mergeCell ref="B8:B14"/>
    <mergeCell ref="C8:H8"/>
    <mergeCell ref="C9:H9"/>
    <mergeCell ref="D10:G10"/>
    <mergeCell ref="H10:H14"/>
    <mergeCell ref="I10:I14"/>
    <mergeCell ref="D11:G11"/>
    <mergeCell ref="D12:G12"/>
    <mergeCell ref="D13:G13"/>
    <mergeCell ref="D14:G14"/>
    <mergeCell ref="B16:B22"/>
    <mergeCell ref="C16:H16"/>
    <mergeCell ref="C17:H17"/>
    <mergeCell ref="D18:G18"/>
    <mergeCell ref="H18:H22"/>
    <mergeCell ref="I18:I22"/>
    <mergeCell ref="D19:G19"/>
    <mergeCell ref="D20:G20"/>
    <mergeCell ref="D21:G21"/>
    <mergeCell ref="D22:G22"/>
    <mergeCell ref="B24:B30"/>
    <mergeCell ref="C24:H24"/>
    <mergeCell ref="C25:H25"/>
    <mergeCell ref="D26:G26"/>
    <mergeCell ref="H26:H30"/>
    <mergeCell ref="I26:I30"/>
    <mergeCell ref="D27:G27"/>
    <mergeCell ref="D28:G28"/>
    <mergeCell ref="D29:G29"/>
    <mergeCell ref="D30:G30"/>
    <mergeCell ref="B32:B38"/>
    <mergeCell ref="C32:H32"/>
    <mergeCell ref="C33:H33"/>
    <mergeCell ref="D34:G34"/>
    <mergeCell ref="H34:H38"/>
    <mergeCell ref="I34:I38"/>
    <mergeCell ref="D35:G35"/>
    <mergeCell ref="D36:G36"/>
    <mergeCell ref="D37:G37"/>
    <mergeCell ref="D38:G38"/>
    <mergeCell ref="B40:B46"/>
    <mergeCell ref="C40:H40"/>
    <mergeCell ref="C41:H41"/>
    <mergeCell ref="D42:G42"/>
    <mergeCell ref="H42:H46"/>
    <mergeCell ref="C49:H49"/>
    <mergeCell ref="I42:I46"/>
    <mergeCell ref="D43:G43"/>
    <mergeCell ref="D44:G44"/>
    <mergeCell ref="D45:G45"/>
    <mergeCell ref="D46:G46"/>
  </mergeCells>
  <dataValidations count="1">
    <dataValidation type="whole" allowBlank="1" showInputMessage="1" showErrorMessage="1" sqref="H10:H14 H18:H22 H26:H30 H34:H38 H42:H46" xr:uid="{00000000-0002-0000-1100-000000000000}">
      <formula1>1</formula1>
      <formula2>5</formula2>
    </dataValidation>
  </dataValidations>
  <pageMargins left="0.7" right="0.7" top="0.75" bottom="0.75" header="0.51180555555555496" footer="0.51180555555555496"/>
  <pageSetup firstPageNumber="0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7">
    <tabColor theme="4" tint="-0.499984740745262"/>
  </sheetPr>
  <dimension ref="B1:I49"/>
  <sheetViews>
    <sheetView showGridLines="0" showRowColHeaders="0" zoomScaleNormal="100" workbookViewId="0">
      <selection activeCell="P40" sqref="P40"/>
    </sheetView>
  </sheetViews>
  <sheetFormatPr baseColWidth="10" defaultColWidth="9.140625" defaultRowHeight="15"/>
  <cols>
    <col min="1" max="1" width="2.42578125" customWidth="1"/>
    <col min="2" max="2" width="5.42578125" customWidth="1"/>
    <col min="3" max="3" width="3.85546875" customWidth="1"/>
    <col min="4" max="4" width="13.140625" style="144" customWidth="1"/>
    <col min="5" max="5" width="15.7109375" style="144" customWidth="1"/>
    <col min="6" max="6" width="12.7109375" style="144" customWidth="1"/>
    <col min="7" max="7" width="14" style="144" customWidth="1"/>
    <col min="8" max="8" width="12.85546875" customWidth="1"/>
    <col min="9" max="9" width="15.28515625" customWidth="1"/>
    <col min="10" max="10" width="3.42578125" customWidth="1"/>
    <col min="11" max="11" width="35.28515625" customWidth="1"/>
    <col min="12" max="1025" width="10.42578125" customWidth="1"/>
  </cols>
  <sheetData>
    <row r="1" spans="2:9" ht="15.75">
      <c r="B1" s="552"/>
      <c r="C1" s="552"/>
      <c r="D1" s="553"/>
      <c r="E1" s="553"/>
      <c r="F1" s="553"/>
      <c r="G1" s="553"/>
      <c r="H1" s="552"/>
      <c r="I1" s="552"/>
    </row>
    <row r="2" spans="2:9" ht="15.75">
      <c r="B2" s="552"/>
      <c r="C2" s="907" t="s">
        <v>1110</v>
      </c>
      <c r="D2" s="907"/>
      <c r="E2" s="907"/>
      <c r="F2" s="907"/>
      <c r="G2" s="907"/>
      <c r="H2" s="572">
        <v>0.5</v>
      </c>
      <c r="I2" s="552"/>
    </row>
    <row r="3" spans="2:9" ht="15.75" customHeight="1">
      <c r="B3" s="908" t="s">
        <v>1149</v>
      </c>
      <c r="C3" s="908"/>
      <c r="D3" s="908"/>
      <c r="E3" s="908"/>
      <c r="F3" s="908"/>
      <c r="G3" s="908"/>
      <c r="H3" s="908"/>
      <c r="I3" s="555"/>
    </row>
    <row r="4" spans="2:9" ht="14.45" customHeight="1">
      <c r="B4" s="908"/>
      <c r="C4" s="908"/>
      <c r="D4" s="908"/>
      <c r="E4" s="908"/>
      <c r="F4" s="908"/>
      <c r="G4" s="908"/>
      <c r="H4" s="908"/>
      <c r="I4" s="555"/>
    </row>
    <row r="5" spans="2:9" ht="14.45" customHeight="1">
      <c r="B5" s="555"/>
      <c r="C5" s="555"/>
      <c r="D5" s="555"/>
      <c r="E5" s="555"/>
      <c r="F5" s="555"/>
      <c r="G5" s="555"/>
      <c r="H5" s="555"/>
      <c r="I5" s="555"/>
    </row>
    <row r="6" spans="2:9" ht="14.45" customHeight="1">
      <c r="B6" s="916" t="s">
        <v>1153</v>
      </c>
      <c r="C6" s="916"/>
      <c r="D6" s="916"/>
      <c r="E6" s="916"/>
      <c r="F6" s="916"/>
      <c r="G6" s="916"/>
      <c r="H6" s="916"/>
      <c r="I6" s="555"/>
    </row>
    <row r="7" spans="2:9" ht="15" customHeight="1">
      <c r="B7" s="555"/>
      <c r="C7" s="555"/>
      <c r="D7" s="555"/>
      <c r="E7" s="555"/>
      <c r="F7" s="555"/>
      <c r="G7" s="555"/>
      <c r="H7" s="555"/>
      <c r="I7" s="555"/>
    </row>
    <row r="8" spans="2:9" ht="15.75" customHeight="1">
      <c r="B8" s="898">
        <v>0.1</v>
      </c>
      <c r="C8" s="899" t="s">
        <v>1113</v>
      </c>
      <c r="D8" s="899"/>
      <c r="E8" s="899"/>
      <c r="F8" s="899"/>
      <c r="G8" s="899"/>
      <c r="H8" s="899"/>
      <c r="I8" s="552"/>
    </row>
    <row r="9" spans="2:9" ht="36.950000000000003" customHeight="1">
      <c r="B9" s="898"/>
      <c r="C9" s="900" t="s">
        <v>1114</v>
      </c>
      <c r="D9" s="900"/>
      <c r="E9" s="900"/>
      <c r="F9" s="900"/>
      <c r="G9" s="900"/>
      <c r="H9" s="900"/>
      <c r="I9" s="552"/>
    </row>
    <row r="10" spans="2:9" ht="16.5" customHeight="1">
      <c r="B10" s="898"/>
      <c r="C10" s="556">
        <v>1</v>
      </c>
      <c r="D10" s="903" t="s">
        <v>1115</v>
      </c>
      <c r="E10" s="903"/>
      <c r="F10" s="903"/>
      <c r="G10" s="903"/>
      <c r="H10" s="912">
        <v>2</v>
      </c>
      <c r="I10" s="895">
        <f>IFERROR(VLOOKUP(H10,Factores!$W$3:$X$7,2,0)*B8*$H$2,"Introducir o revisar Valor en Columna H (Valor maximo permitido = 5)")</f>
        <v>1.2500000000000001E-2</v>
      </c>
    </row>
    <row r="11" spans="2:9" ht="15" customHeight="1">
      <c r="B11" s="898"/>
      <c r="C11" s="556">
        <v>2</v>
      </c>
      <c r="D11" s="905" t="s">
        <v>1116</v>
      </c>
      <c r="E11" s="905"/>
      <c r="F11" s="905"/>
      <c r="G11" s="905"/>
      <c r="H11" s="912"/>
      <c r="I11" s="895"/>
    </row>
    <row r="12" spans="2:9" ht="15" customHeight="1">
      <c r="B12" s="898"/>
      <c r="C12" s="556">
        <v>3</v>
      </c>
      <c r="D12" s="905" t="s">
        <v>1117</v>
      </c>
      <c r="E12" s="905"/>
      <c r="F12" s="905"/>
      <c r="G12" s="905"/>
      <c r="H12" s="912"/>
      <c r="I12" s="895"/>
    </row>
    <row r="13" spans="2:9" ht="15" customHeight="1">
      <c r="B13" s="898"/>
      <c r="C13" s="556">
        <v>4</v>
      </c>
      <c r="D13" s="905" t="s">
        <v>1118</v>
      </c>
      <c r="E13" s="905"/>
      <c r="F13" s="905"/>
      <c r="G13" s="905"/>
      <c r="H13" s="912"/>
      <c r="I13" s="895"/>
    </row>
    <row r="14" spans="2:9" ht="16.5">
      <c r="B14" s="898"/>
      <c r="C14" s="556">
        <v>5</v>
      </c>
      <c r="D14" s="903" t="s">
        <v>1119</v>
      </c>
      <c r="E14" s="903"/>
      <c r="F14" s="903"/>
      <c r="G14" s="903"/>
      <c r="H14" s="912"/>
      <c r="I14" s="895"/>
    </row>
    <row r="15" spans="2:9" ht="9.9499999999999993" customHeight="1"/>
    <row r="16" spans="2:9" ht="15.75" customHeight="1">
      <c r="B16" s="898">
        <v>0.2</v>
      </c>
      <c r="C16" s="899" t="s">
        <v>1120</v>
      </c>
      <c r="D16" s="899"/>
      <c r="E16" s="899"/>
      <c r="F16" s="899"/>
      <c r="G16" s="899"/>
      <c r="H16" s="899"/>
      <c r="I16" s="559"/>
    </row>
    <row r="17" spans="2:9" ht="31.5" customHeight="1">
      <c r="B17" s="898"/>
      <c r="C17" s="900" t="s">
        <v>1121</v>
      </c>
      <c r="D17" s="900"/>
      <c r="E17" s="900"/>
      <c r="F17" s="900"/>
      <c r="G17" s="900"/>
      <c r="H17" s="900"/>
      <c r="I17" s="559"/>
    </row>
    <row r="18" spans="2:9" ht="16.5" customHeight="1">
      <c r="B18" s="898"/>
      <c r="C18" s="560">
        <v>1</v>
      </c>
      <c r="D18" s="903" t="s">
        <v>1122</v>
      </c>
      <c r="E18" s="903"/>
      <c r="F18" s="903"/>
      <c r="G18" s="903"/>
      <c r="H18" s="912">
        <v>2</v>
      </c>
      <c r="I18" s="895">
        <f>IFERROR(VLOOKUP(H18,Factores!$W$3:$X$7,2,0)*B16*$H$2,"Introducir o revisar Valor en Columna H (Valor maximo permitido = 5)")</f>
        <v>2.5000000000000001E-2</v>
      </c>
    </row>
    <row r="19" spans="2:9" ht="14.45" customHeight="1">
      <c r="B19" s="898"/>
      <c r="C19" s="560">
        <v>2</v>
      </c>
      <c r="D19" s="903" t="s">
        <v>1123</v>
      </c>
      <c r="E19" s="903"/>
      <c r="F19" s="903"/>
      <c r="G19" s="903"/>
      <c r="H19" s="912"/>
      <c r="I19" s="895"/>
    </row>
    <row r="20" spans="2:9" ht="16.5">
      <c r="B20" s="898"/>
      <c r="C20" s="560">
        <v>3</v>
      </c>
      <c r="D20" s="903" t="s">
        <v>1124</v>
      </c>
      <c r="E20" s="903"/>
      <c r="F20" s="903"/>
      <c r="G20" s="903"/>
      <c r="H20" s="912"/>
      <c r="I20" s="895"/>
    </row>
    <row r="21" spans="2:9" ht="15.6" customHeight="1">
      <c r="B21" s="898"/>
      <c r="C21" s="560">
        <v>4</v>
      </c>
      <c r="D21" s="903" t="s">
        <v>1125</v>
      </c>
      <c r="E21" s="903"/>
      <c r="F21" s="903"/>
      <c r="G21" s="903"/>
      <c r="H21" s="912"/>
      <c r="I21" s="895"/>
    </row>
    <row r="22" spans="2:9" ht="15" customHeight="1">
      <c r="B22" s="898"/>
      <c r="C22" s="560">
        <v>5</v>
      </c>
      <c r="D22" s="905" t="s">
        <v>1126</v>
      </c>
      <c r="E22" s="905"/>
      <c r="F22" s="905"/>
      <c r="G22" s="905"/>
      <c r="H22" s="912"/>
      <c r="I22" s="895"/>
    </row>
    <row r="23" spans="2:9" ht="9.9499999999999993" customHeight="1"/>
    <row r="24" spans="2:9" ht="15.75" customHeight="1">
      <c r="B24" s="898">
        <v>0.2</v>
      </c>
      <c r="C24" s="899" t="s">
        <v>1127</v>
      </c>
      <c r="D24" s="899"/>
      <c r="E24" s="899"/>
      <c r="F24" s="899"/>
      <c r="G24" s="899"/>
      <c r="H24" s="899"/>
      <c r="I24" s="559"/>
    </row>
    <row r="25" spans="2:9" ht="41.1" customHeight="1">
      <c r="B25" s="898"/>
      <c r="C25" s="900" t="s">
        <v>1128</v>
      </c>
      <c r="D25" s="900"/>
      <c r="E25" s="900"/>
      <c r="F25" s="900"/>
      <c r="G25" s="900"/>
      <c r="H25" s="900"/>
      <c r="I25" s="559"/>
    </row>
    <row r="26" spans="2:9" ht="16.5" customHeight="1">
      <c r="B26" s="898"/>
      <c r="C26" s="556">
        <v>1</v>
      </c>
      <c r="D26" s="903" t="s">
        <v>1129</v>
      </c>
      <c r="E26" s="903"/>
      <c r="F26" s="903"/>
      <c r="G26" s="903"/>
      <c r="H26" s="912">
        <v>1</v>
      </c>
      <c r="I26" s="895">
        <f>IFERROR(VLOOKUP(H26,Factores!$W$3:$X$7,2,0)*B24*$H$2,"Introducir o revisar Valor en Columna H (Valor maximo permitido = 5)")</f>
        <v>1.0000000000000002E-2</v>
      </c>
    </row>
    <row r="27" spans="2:9" ht="16.5">
      <c r="B27" s="898"/>
      <c r="C27" s="556">
        <v>2</v>
      </c>
      <c r="D27" s="903" t="s">
        <v>1130</v>
      </c>
      <c r="E27" s="903"/>
      <c r="F27" s="903"/>
      <c r="G27" s="903"/>
      <c r="H27" s="912"/>
      <c r="I27" s="895"/>
    </row>
    <row r="28" spans="2:9" ht="16.5">
      <c r="B28" s="898"/>
      <c r="C28" s="556">
        <v>3</v>
      </c>
      <c r="D28" s="903" t="s">
        <v>1131</v>
      </c>
      <c r="E28" s="903"/>
      <c r="F28" s="903"/>
      <c r="G28" s="903"/>
      <c r="H28" s="912"/>
      <c r="I28" s="895"/>
    </row>
    <row r="29" spans="2:9" ht="16.5">
      <c r="B29" s="898"/>
      <c r="C29" s="556">
        <v>4</v>
      </c>
      <c r="D29" s="903" t="s">
        <v>1132</v>
      </c>
      <c r="E29" s="903"/>
      <c r="F29" s="903"/>
      <c r="G29" s="903"/>
      <c r="H29" s="912"/>
      <c r="I29" s="895"/>
    </row>
    <row r="30" spans="2:9" ht="16.5">
      <c r="B30" s="898"/>
      <c r="C30" s="556">
        <v>5</v>
      </c>
      <c r="D30" s="904" t="s">
        <v>1133</v>
      </c>
      <c r="E30" s="904"/>
      <c r="F30" s="904"/>
      <c r="G30" s="904"/>
      <c r="H30" s="912"/>
      <c r="I30" s="895"/>
    </row>
    <row r="31" spans="2:9" ht="9.9499999999999993" customHeight="1"/>
    <row r="32" spans="2:9" ht="15.75" customHeight="1">
      <c r="B32" s="898">
        <v>0.25</v>
      </c>
      <c r="C32" s="899" t="s">
        <v>1134</v>
      </c>
      <c r="D32" s="899"/>
      <c r="E32" s="899"/>
      <c r="F32" s="899"/>
      <c r="G32" s="899"/>
      <c r="H32" s="899"/>
      <c r="I32" s="559"/>
    </row>
    <row r="33" spans="2:9" ht="25.5" customHeight="1">
      <c r="B33" s="898"/>
      <c r="C33" s="900" t="s">
        <v>1135</v>
      </c>
      <c r="D33" s="900"/>
      <c r="E33" s="900"/>
      <c r="F33" s="900"/>
      <c r="G33" s="900"/>
      <c r="H33" s="900"/>
      <c r="I33" s="559"/>
    </row>
    <row r="34" spans="2:9" ht="15.75" customHeight="1">
      <c r="B34" s="898"/>
      <c r="C34" s="560">
        <v>1</v>
      </c>
      <c r="D34" s="896" t="s">
        <v>1136</v>
      </c>
      <c r="E34" s="896"/>
      <c r="F34" s="896"/>
      <c r="G34" s="896"/>
      <c r="H34" s="912">
        <v>2</v>
      </c>
      <c r="I34" s="895">
        <f>IFERROR(VLOOKUP(H34,Factores!$W$3:$X$7,2,0)*B32*$H$2,"Introducir o revisar Valor en Columna H (Valor maximo permitido = 5)")</f>
        <v>3.125E-2</v>
      </c>
    </row>
    <row r="35" spans="2:9" ht="15.75">
      <c r="B35" s="898"/>
      <c r="C35" s="560">
        <v>2</v>
      </c>
      <c r="D35" s="896" t="s">
        <v>1137</v>
      </c>
      <c r="E35" s="896"/>
      <c r="F35" s="896"/>
      <c r="G35" s="896"/>
      <c r="H35" s="912"/>
      <c r="I35" s="895"/>
    </row>
    <row r="36" spans="2:9" ht="15.75">
      <c r="B36" s="898"/>
      <c r="C36" s="560">
        <v>3</v>
      </c>
      <c r="D36" s="896" t="s">
        <v>1138</v>
      </c>
      <c r="E36" s="896"/>
      <c r="F36" s="896"/>
      <c r="G36" s="896"/>
      <c r="H36" s="912"/>
      <c r="I36" s="895"/>
    </row>
    <row r="37" spans="2:9" ht="15.75">
      <c r="B37" s="898"/>
      <c r="C37" s="560">
        <v>4</v>
      </c>
      <c r="D37" s="896" t="s">
        <v>1139</v>
      </c>
      <c r="E37" s="896"/>
      <c r="F37" s="896"/>
      <c r="G37" s="896"/>
      <c r="H37" s="912"/>
      <c r="I37" s="895"/>
    </row>
    <row r="38" spans="2:9" ht="15.6" customHeight="1">
      <c r="B38" s="898"/>
      <c r="C38" s="560">
        <v>5</v>
      </c>
      <c r="D38" s="902" t="s">
        <v>1140</v>
      </c>
      <c r="E38" s="902"/>
      <c r="F38" s="902"/>
      <c r="G38" s="902"/>
      <c r="H38" s="912"/>
      <c r="I38" s="895"/>
    </row>
    <row r="39" spans="2:9" ht="15.75">
      <c r="B39" s="552"/>
      <c r="C39" s="552"/>
      <c r="D39" s="553"/>
      <c r="E39" s="553"/>
      <c r="F39" s="553"/>
      <c r="G39" s="553"/>
      <c r="H39" s="552"/>
      <c r="I39" s="552"/>
    </row>
    <row r="40" spans="2:9" ht="15.75">
      <c r="B40" s="898">
        <v>0.25</v>
      </c>
      <c r="C40" s="899" t="s">
        <v>1141</v>
      </c>
      <c r="D40" s="899"/>
      <c r="E40" s="899"/>
      <c r="F40" s="899"/>
      <c r="G40" s="899"/>
      <c r="H40" s="899"/>
      <c r="I40" s="559"/>
    </row>
    <row r="41" spans="2:9" ht="24.95" customHeight="1">
      <c r="B41" s="898"/>
      <c r="C41" s="900" t="s">
        <v>1142</v>
      </c>
      <c r="D41" s="900"/>
      <c r="E41" s="900"/>
      <c r="F41" s="900"/>
      <c r="G41" s="900"/>
      <c r="H41" s="900"/>
      <c r="I41" s="559"/>
    </row>
    <row r="42" spans="2:9" ht="15.75" customHeight="1">
      <c r="B42" s="898"/>
      <c r="C42" s="560">
        <v>1</v>
      </c>
      <c r="D42" s="896" t="s">
        <v>1143</v>
      </c>
      <c r="E42" s="896"/>
      <c r="F42" s="896"/>
      <c r="G42" s="896"/>
      <c r="H42" s="912">
        <v>4</v>
      </c>
      <c r="I42" s="895">
        <f>IFERROR(VLOOKUP(H42,Factores!$W$3:$X$7,2,0)*B40*$H$2,"Introducir o revisar Valor en Columna H (Valor maximo permitido = 5)")</f>
        <v>9.375E-2</v>
      </c>
    </row>
    <row r="43" spans="2:9" ht="15.75">
      <c r="B43" s="898"/>
      <c r="C43" s="560">
        <v>2</v>
      </c>
      <c r="D43" s="896" t="s">
        <v>1144</v>
      </c>
      <c r="E43" s="896"/>
      <c r="F43" s="896"/>
      <c r="G43" s="896"/>
      <c r="H43" s="912"/>
      <c r="I43" s="895"/>
    </row>
    <row r="44" spans="2:9" ht="15.75">
      <c r="B44" s="898"/>
      <c r="C44" s="560">
        <v>3</v>
      </c>
      <c r="D44" s="896" t="s">
        <v>1145</v>
      </c>
      <c r="E44" s="896"/>
      <c r="F44" s="896"/>
      <c r="G44" s="896"/>
      <c r="H44" s="912"/>
      <c r="I44" s="895"/>
    </row>
    <row r="45" spans="2:9" ht="15.75">
      <c r="B45" s="898"/>
      <c r="C45" s="560">
        <v>4</v>
      </c>
      <c r="D45" s="896" t="s">
        <v>1146</v>
      </c>
      <c r="E45" s="896"/>
      <c r="F45" s="896"/>
      <c r="G45" s="896"/>
      <c r="H45" s="912"/>
      <c r="I45" s="895"/>
    </row>
    <row r="46" spans="2:9" ht="15.6" customHeight="1">
      <c r="B46" s="898"/>
      <c r="C46" s="561">
        <v>5</v>
      </c>
      <c r="D46" s="897" t="s">
        <v>1147</v>
      </c>
      <c r="E46" s="897"/>
      <c r="F46" s="897"/>
      <c r="G46" s="897"/>
      <c r="H46" s="912"/>
      <c r="I46" s="895"/>
    </row>
    <row r="49" spans="3:9" ht="15.75">
      <c r="C49" s="894" t="s">
        <v>1148</v>
      </c>
      <c r="D49" s="894"/>
      <c r="E49" s="894"/>
      <c r="F49" s="894"/>
      <c r="G49" s="894"/>
      <c r="H49" s="894"/>
      <c r="I49" s="562">
        <f>1+I10+I18+I26+I34+I42</f>
        <v>1.1724999999999999</v>
      </c>
    </row>
  </sheetData>
  <sheetProtection algorithmName="SHA-512" hashValue="eocXOFIO5MrOwcj9WU8QWxG2xAjimAjZ4nVkM9EHVY9EVasTudpAlwFLsXIlEu2my7zeATEKh6VD1g/3rEH0cQ==" saltValue="Xi+jtgpgwf3bih4QBGoQmA==" spinCount="100000" sheet="1" objects="1" scenarios="1"/>
  <mergeCells count="54">
    <mergeCell ref="C2:G2"/>
    <mergeCell ref="B3:H4"/>
    <mergeCell ref="B6:H6"/>
    <mergeCell ref="B8:B14"/>
    <mergeCell ref="C8:H8"/>
    <mergeCell ref="C9:H9"/>
    <mergeCell ref="D10:G10"/>
    <mergeCell ref="H10:H14"/>
    <mergeCell ref="I10:I14"/>
    <mergeCell ref="D11:G11"/>
    <mergeCell ref="D12:G12"/>
    <mergeCell ref="D13:G13"/>
    <mergeCell ref="D14:G14"/>
    <mergeCell ref="B16:B22"/>
    <mergeCell ref="C16:H16"/>
    <mergeCell ref="C17:H17"/>
    <mergeCell ref="D18:G18"/>
    <mergeCell ref="H18:H22"/>
    <mergeCell ref="I18:I22"/>
    <mergeCell ref="D19:G19"/>
    <mergeCell ref="D20:G20"/>
    <mergeCell ref="D21:G21"/>
    <mergeCell ref="D22:G22"/>
    <mergeCell ref="B24:B30"/>
    <mergeCell ref="C24:H24"/>
    <mergeCell ref="C25:H25"/>
    <mergeCell ref="D26:G26"/>
    <mergeCell ref="H26:H30"/>
    <mergeCell ref="I26:I30"/>
    <mergeCell ref="D27:G27"/>
    <mergeCell ref="D28:G28"/>
    <mergeCell ref="D29:G29"/>
    <mergeCell ref="D30:G30"/>
    <mergeCell ref="B32:B38"/>
    <mergeCell ref="C32:H32"/>
    <mergeCell ref="C33:H33"/>
    <mergeCell ref="D34:G34"/>
    <mergeCell ref="H34:H38"/>
    <mergeCell ref="I34:I38"/>
    <mergeCell ref="D35:G35"/>
    <mergeCell ref="D36:G36"/>
    <mergeCell ref="D37:G37"/>
    <mergeCell ref="D38:G38"/>
    <mergeCell ref="B40:B46"/>
    <mergeCell ref="C40:H40"/>
    <mergeCell ref="C41:H41"/>
    <mergeCell ref="D42:G42"/>
    <mergeCell ref="H42:H46"/>
    <mergeCell ref="C49:H49"/>
    <mergeCell ref="I42:I46"/>
    <mergeCell ref="D43:G43"/>
    <mergeCell ref="D44:G44"/>
    <mergeCell ref="D45:G45"/>
    <mergeCell ref="D46:G46"/>
  </mergeCells>
  <dataValidations count="1">
    <dataValidation type="whole" allowBlank="1" showInputMessage="1" showErrorMessage="1" sqref="H10:H14 H18:H22 H26:H30 H34:H38 H42:H46" xr:uid="{00000000-0002-0000-1200-000000000000}">
      <formula1>1</formula1>
      <formula2>5</formula2>
    </dataValidation>
  </dataValidations>
  <pageMargins left="0.7" right="0.7" top="0.75" bottom="0.75" header="0.51180555555555496" footer="0.51180555555555496"/>
  <pageSetup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/>
  <dimension ref="A2:AMI51"/>
  <sheetViews>
    <sheetView showGridLines="0" showRowColHeaders="0" zoomScaleNormal="100" workbookViewId="0">
      <selection activeCell="D21" sqref="D21"/>
    </sheetView>
  </sheetViews>
  <sheetFormatPr baseColWidth="10" defaultColWidth="9.140625" defaultRowHeight="15.95" customHeight="1"/>
  <cols>
    <col min="1" max="1" width="11.42578125" style="1"/>
    <col min="2" max="2" width="28.42578125" style="1" customWidth="1"/>
    <col min="3" max="3" width="25.42578125" style="1" customWidth="1"/>
    <col min="4" max="4" width="19.28515625" style="1" customWidth="1"/>
    <col min="5" max="5" width="29.85546875" style="1" customWidth="1"/>
    <col min="6" max="6" width="40.140625" style="1" customWidth="1"/>
    <col min="7" max="7" width="24.7109375" style="1" customWidth="1"/>
    <col min="8" max="8" width="26" style="1" customWidth="1"/>
    <col min="9" max="9" width="12" style="1" customWidth="1"/>
    <col min="10" max="10" width="26" style="1" bestFit="1" customWidth="1"/>
    <col min="11" max="11" width="10.42578125" style="1" customWidth="1"/>
    <col min="12" max="12" width="15.85546875" style="1" customWidth="1"/>
    <col min="13" max="16" width="11.42578125" style="1"/>
    <col min="17" max="17" width="12.7109375" style="1" bestFit="1" customWidth="1"/>
    <col min="18" max="1023" width="11.42578125" style="1"/>
  </cols>
  <sheetData>
    <row r="2" spans="2:7" ht="15.95" customHeight="1">
      <c r="B2" s="2"/>
      <c r="C2" s="2"/>
      <c r="D2" s="2"/>
      <c r="E2" s="2"/>
      <c r="F2" s="2"/>
    </row>
    <row r="3" spans="2:7" ht="15.95" customHeight="1">
      <c r="B3" s="2"/>
      <c r="C3" s="3" t="s">
        <v>11</v>
      </c>
      <c r="D3" s="2"/>
      <c r="E3" s="2"/>
      <c r="F3" s="2"/>
    </row>
    <row r="4" spans="2:7" ht="15.95" customHeight="1">
      <c r="B4" s="2"/>
      <c r="C4" s="821" t="s">
        <v>12</v>
      </c>
      <c r="D4" s="821"/>
      <c r="E4" s="2"/>
      <c r="F4" s="2"/>
    </row>
    <row r="5" spans="2:7" ht="15.95" customHeight="1">
      <c r="B5" s="2"/>
      <c r="C5" s="689" t="s">
        <v>13</v>
      </c>
      <c r="D5" s="2"/>
      <c r="E5" s="2"/>
      <c r="F5" s="2"/>
      <c r="G5" s="674" t="s">
        <v>14</v>
      </c>
    </row>
    <row r="6" spans="2:7" ht="15.95" customHeight="1">
      <c r="B6" s="2"/>
      <c r="C6" s="2"/>
      <c r="D6" s="2"/>
      <c r="E6" s="2"/>
      <c r="F6" s="2"/>
      <c r="G6" s="4" t="s">
        <v>15</v>
      </c>
    </row>
    <row r="7" spans="2:7" ht="15.95" customHeight="1">
      <c r="B7" s="2"/>
      <c r="C7" s="2"/>
      <c r="D7" s="2"/>
      <c r="E7" s="2"/>
      <c r="F7" s="2"/>
      <c r="G7" s="5" t="s">
        <v>16</v>
      </c>
    </row>
    <row r="9" spans="2:7" ht="15.95" customHeight="1">
      <c r="B9" s="6" t="s">
        <v>17</v>
      </c>
      <c r="C9" s="705">
        <v>45627</v>
      </c>
      <c r="E9" s="730" t="s">
        <v>18</v>
      </c>
    </row>
    <row r="11" spans="2:7" ht="15.95" customHeight="1">
      <c r="B11" s="8" t="s">
        <v>19</v>
      </c>
      <c r="C11" s="778">
        <v>45627</v>
      </c>
      <c r="F11" s="7" t="s">
        <v>20</v>
      </c>
      <c r="G11" s="7" t="s">
        <v>21</v>
      </c>
    </row>
    <row r="12" spans="2:7" ht="15.95" customHeight="1">
      <c r="F12" s="719">
        <f>Indices!C14</f>
        <v>45627</v>
      </c>
      <c r="G12" s="719">
        <f>Indices!D14</f>
        <v>45627</v>
      </c>
    </row>
    <row r="13" spans="2:7" ht="15.95" customHeight="1">
      <c r="B13" s="11" t="s">
        <v>22</v>
      </c>
      <c r="C13" s="11" t="s">
        <v>23</v>
      </c>
      <c r="E13" s="9" t="s">
        <v>24</v>
      </c>
      <c r="F13" s="735">
        <f>Indices!C15</f>
        <v>4385.1487096774199</v>
      </c>
      <c r="G13" s="736">
        <f>Indices!D15</f>
        <v>4385.1487096774199</v>
      </c>
    </row>
    <row r="14" spans="2:7" ht="15.95" customHeight="1">
      <c r="B14" s="11" t="s">
        <v>25</v>
      </c>
      <c r="C14" s="777" t="s">
        <v>26</v>
      </c>
      <c r="E14" s="733" t="s">
        <v>27</v>
      </c>
      <c r="F14" s="735">
        <f>Indices!C16</f>
        <v>255.18600000000001</v>
      </c>
      <c r="G14" s="736">
        <f>Indices!D16</f>
        <v>255.18600000000001</v>
      </c>
    </row>
    <row r="15" spans="2:7" ht="15.95" customHeight="1">
      <c r="B15" s="11" t="s">
        <v>28</v>
      </c>
      <c r="C15" s="777" t="s">
        <v>1024</v>
      </c>
      <c r="D15" s="658"/>
      <c r="E15" s="733" t="s">
        <v>29</v>
      </c>
      <c r="F15" s="735">
        <f>Indices!C17</f>
        <v>270.44200000000001</v>
      </c>
      <c r="G15" s="736">
        <f>Indices!D17</f>
        <v>270.44200000000001</v>
      </c>
    </row>
    <row r="16" spans="2:7" ht="15.95" customHeight="1">
      <c r="E16" s="733" t="s">
        <v>30</v>
      </c>
      <c r="F16" s="735">
        <f>Indices!C18</f>
        <v>185.55799999999999</v>
      </c>
      <c r="G16" s="736">
        <f>Indices!D18</f>
        <v>185.55799999999999</v>
      </c>
    </row>
    <row r="17" spans="2:7" ht="15.95" customHeight="1">
      <c r="B17" s="6" t="s">
        <v>31</v>
      </c>
      <c r="C17" s="675">
        <v>1000</v>
      </c>
      <c r="D17" s="1" t="s">
        <v>32</v>
      </c>
      <c r="E17" s="733" t="s">
        <v>33</v>
      </c>
      <c r="F17" s="735">
        <f>Indices!C19</f>
        <v>131.25</v>
      </c>
      <c r="G17" s="736">
        <f>Indices!D19</f>
        <v>131.25</v>
      </c>
    </row>
    <row r="18" spans="2:7" ht="15.95" customHeight="1">
      <c r="B18" s="12" t="s">
        <v>34</v>
      </c>
      <c r="C18" s="709">
        <f>+VLOOKUP(Capacidad,Factores!B3:D24,2,1)</f>
        <v>21</v>
      </c>
      <c r="D18" s="1" t="s">
        <v>35</v>
      </c>
      <c r="E18" s="734" t="s">
        <v>36</v>
      </c>
      <c r="F18" s="735">
        <f>Indices!C20</f>
        <v>144.88</v>
      </c>
      <c r="G18" s="736">
        <f>Indices!D20</f>
        <v>144.88</v>
      </c>
    </row>
    <row r="19" spans="2:7" ht="15.95" customHeight="1">
      <c r="B19" s="12" t="s">
        <v>37</v>
      </c>
      <c r="C19" s="709">
        <f>+VLOOKUP(Capacidad,Factores!B3:D24,3,1)</f>
        <v>18.833333333300001</v>
      </c>
      <c r="D19" s="1" t="s">
        <v>35</v>
      </c>
      <c r="E19" s="734" t="s">
        <v>38</v>
      </c>
      <c r="F19" s="735">
        <f>Indices!C21</f>
        <v>296.45516858552116</v>
      </c>
      <c r="G19" s="736">
        <f>Indices!D21</f>
        <v>296.45516858552116</v>
      </c>
    </row>
    <row r="20" spans="2:7" ht="15.95" customHeight="1">
      <c r="B20" s="11" t="s">
        <v>39</v>
      </c>
      <c r="C20" s="777" t="s">
        <v>373</v>
      </c>
    </row>
    <row r="21" spans="2:7" ht="15.95" customHeight="1">
      <c r="B21" s="687" t="s">
        <v>41</v>
      </c>
      <c r="C21" s="777" t="s">
        <v>1182</v>
      </c>
    </row>
    <row r="22" spans="2:7" ht="15.95" customHeight="1" thickBot="1"/>
    <row r="23" spans="2:7" ht="26.25" thickBot="1">
      <c r="B23" s="826" t="s">
        <v>42</v>
      </c>
      <c r="C23" s="826"/>
      <c r="D23" s="14" t="s">
        <v>43</v>
      </c>
      <c r="E23" s="14" t="s">
        <v>44</v>
      </c>
      <c r="F23" s="14" t="s">
        <v>45</v>
      </c>
      <c r="G23" s="15" t="s">
        <v>46</v>
      </c>
    </row>
    <row r="24" spans="2:7" ht="24" customHeight="1" thickBot="1">
      <c r="B24" s="827" t="s">
        <v>47</v>
      </c>
      <c r="C24" s="16" t="s">
        <v>48</v>
      </c>
      <c r="D24" s="17">
        <f ca="1">VLOOKUP(1,Factores!$AO$4:$AT$7,4,FALSE)</f>
        <v>1.2146500000000001E-2</v>
      </c>
      <c r="E24" s="724">
        <f ca="1">D24*(F31+F37)</f>
        <v>10580.749063096475</v>
      </c>
      <c r="F24" s="18" t="s">
        <v>49</v>
      </c>
      <c r="G24" s="828" t="s">
        <v>50</v>
      </c>
    </row>
    <row r="25" spans="2:7" ht="24" customHeight="1" thickBot="1">
      <c r="B25" s="827"/>
      <c r="C25" s="20" t="s">
        <v>51</v>
      </c>
      <c r="D25" s="21">
        <f ca="1">VLOOKUP(1,Factores!$AO$4:$AT$7,5,FALSE)</f>
        <v>2.4284500000000004E-2</v>
      </c>
      <c r="E25" s="722">
        <f ca="1">D25*(F31+F37)</f>
        <v>21154.093823139698</v>
      </c>
      <c r="F25" s="829">
        <f ca="1">SUM(E24:E26)*(1+fac_iva)</f>
        <v>88111.206333693524</v>
      </c>
      <c r="G25" s="828"/>
    </row>
    <row r="26" spans="2:7" ht="24" customHeight="1" thickBot="1">
      <c r="B26" s="827"/>
      <c r="C26" s="24" t="s">
        <v>52</v>
      </c>
      <c r="D26" s="25">
        <f ca="1">VLOOKUP(1,Factores!$AO$4:$AT$7,6,FALSE)</f>
        <v>4.8569000000000008E-2</v>
      </c>
      <c r="E26" s="723">
        <f ca="1">D26*(F31+F37)</f>
        <v>42308.187646279395</v>
      </c>
      <c r="F26" s="829"/>
      <c r="G26" s="828"/>
    </row>
    <row r="27" spans="2:7" ht="24.75" customHeight="1" thickBot="1">
      <c r="B27" s="830" t="s">
        <v>53</v>
      </c>
      <c r="C27" s="830"/>
      <c r="D27" s="17">
        <v>2.1428571428571401E-2</v>
      </c>
      <c r="E27" s="724">
        <f ca="1">(TotalIngenieria+TotalMateriales+TotalConstruccionMontaje+TotalComisionamiento)*D27</f>
        <v>21777.394742923545</v>
      </c>
      <c r="F27" s="831" t="s">
        <v>54</v>
      </c>
      <c r="G27" s="832" t="s">
        <v>55</v>
      </c>
    </row>
    <row r="28" spans="2:7" ht="24.75" customHeight="1" thickBot="1">
      <c r="B28" s="833" t="s">
        <v>56</v>
      </c>
      <c r="C28" s="833"/>
      <c r="D28" s="21">
        <v>1.4285714285714299E-2</v>
      </c>
      <c r="E28" s="722">
        <f ca="1">(TotalIngenieria+TotalMateriales+TotalConstruccionMontaje+TotalComisionamiento)*D28</f>
        <v>14518.263161949062</v>
      </c>
      <c r="F28" s="831"/>
      <c r="G28" s="832"/>
    </row>
    <row r="29" spans="2:7" ht="24.75" customHeight="1" thickBot="1">
      <c r="B29" s="834" t="s">
        <v>57</v>
      </c>
      <c r="C29" s="834"/>
      <c r="D29" s="25">
        <v>1.4285714285714299E-2</v>
      </c>
      <c r="E29" s="725">
        <f ca="1">(TotalIngenieria+TotalMateriales+TotalConstruccionMontaje+TotalComisionamiento)*D29</f>
        <v>14518.263161949062</v>
      </c>
      <c r="F29" s="23">
        <f ca="1">SUM(E27:E29)*(1+fac_iva)</f>
        <v>60468.566069517787</v>
      </c>
      <c r="G29" s="832"/>
    </row>
    <row r="30" spans="2:7" ht="26.25" customHeight="1" thickBot="1">
      <c r="B30" s="817" t="s">
        <v>58</v>
      </c>
      <c r="C30" s="835" t="s">
        <v>59</v>
      </c>
      <c r="D30" s="814">
        <f ca="1">SUM('Costo Tanque'!$P$5:$P$119)</f>
        <v>150025.71850825779</v>
      </c>
      <c r="E30" s="18" t="s">
        <v>60</v>
      </c>
      <c r="F30" s="27" t="s">
        <v>61</v>
      </c>
      <c r="G30" s="810" t="s">
        <v>62</v>
      </c>
    </row>
    <row r="31" spans="2:7" ht="26.25" customHeight="1" thickBot="1">
      <c r="B31" s="817"/>
      <c r="C31" s="835"/>
      <c r="D31" s="814"/>
      <c r="E31" s="728">
        <f ca="1">(SUMIF('Costo Tanque'!H8:H119,"Kilogramo",'Costo Tanque'!J8:J119)*VLOOKUP(Ubicacion,Factores!$M$3:$R$7,6,0))</f>
        <v>1542.89972503831</v>
      </c>
      <c r="F31" s="822">
        <f ca="1">E33*(1+fac_iva)</f>
        <v>405192.31932125997</v>
      </c>
      <c r="G31" s="810"/>
    </row>
    <row r="32" spans="2:7" ht="26.25" customHeight="1" thickBot="1">
      <c r="B32" s="817"/>
      <c r="C32" s="823" t="s">
        <v>63</v>
      </c>
      <c r="D32" s="824">
        <f ca="1">(SUM('Costo Tanque'!$Q$5:$Q$119))*(1+fac_Arancel+Indices!C34)</f>
        <v>188929.12909549384</v>
      </c>
      <c r="E32" s="28" t="s">
        <v>64</v>
      </c>
      <c r="F32" s="822"/>
      <c r="G32" s="810"/>
    </row>
    <row r="33" spans="2:10" ht="26.25" customHeight="1" thickBot="1">
      <c r="B33" s="817"/>
      <c r="C33" s="823"/>
      <c r="D33" s="825"/>
      <c r="E33" s="726">
        <f ca="1">E31+D30+D32</f>
        <v>340497.7473287899</v>
      </c>
      <c r="F33" s="822"/>
      <c r="G33" s="810"/>
    </row>
    <row r="34" spans="2:10" ht="24" customHeight="1" thickBot="1">
      <c r="B34" s="817" t="s">
        <v>65</v>
      </c>
      <c r="C34" s="820" t="s">
        <v>66</v>
      </c>
      <c r="D34" s="813">
        <f ca="1">SUM('Costo Tanque'!$R$5:$R$119)</f>
        <v>236178.94421186103</v>
      </c>
      <c r="E34" s="18" t="s">
        <v>67</v>
      </c>
      <c r="F34" s="18" t="s">
        <v>68</v>
      </c>
      <c r="G34" s="810" t="s">
        <v>62</v>
      </c>
    </row>
    <row r="35" spans="2:10" ht="24" customHeight="1" thickBot="1">
      <c r="B35" s="817"/>
      <c r="C35" s="820"/>
      <c r="D35" s="813"/>
      <c r="E35" s="727">
        <f ca="1">D34+D36</f>
        <v>394583.00557485811</v>
      </c>
      <c r="F35" s="22">
        <f ca="1">E37*(1+fac_utilidad+fac_imprevistos)</f>
        <v>461839.67887509259</v>
      </c>
      <c r="G35" s="810"/>
      <c r="H35" s="702"/>
    </row>
    <row r="36" spans="2:10" ht="24" customHeight="1" thickBot="1">
      <c r="B36" s="817"/>
      <c r="C36" s="811" t="s">
        <v>69</v>
      </c>
      <c r="D36" s="812">
        <f ca="1">SUM('Costo Tanque'!$S$5:$S$119)</f>
        <v>158404.06136299708</v>
      </c>
      <c r="E36" s="28" t="s">
        <v>70</v>
      </c>
      <c r="F36" s="28" t="s">
        <v>71</v>
      </c>
      <c r="G36" s="810"/>
      <c r="H36" s="702"/>
    </row>
    <row r="37" spans="2:10" ht="24" customHeight="1" thickBot="1">
      <c r="B37" s="817"/>
      <c r="C37" s="811"/>
      <c r="D37" s="813"/>
      <c r="E37" s="729">
        <f ca="1">(D34+D36)*fac_regionalizacion</f>
        <v>427629.33229175239</v>
      </c>
      <c r="F37" s="26">
        <f ca="1">F35+(fac_utilidad*E37*fac_iva)</f>
        <v>465902.15753186424</v>
      </c>
      <c r="G37" s="810"/>
    </row>
    <row r="38" spans="2:10" ht="57" customHeight="1" thickBot="1">
      <c r="B38" s="817" t="s">
        <v>72</v>
      </c>
      <c r="C38" s="817"/>
      <c r="D38" s="817"/>
      <c r="E38" s="29">
        <f ca="1">VLOOKUP(1,Factores!$AV$4:$AZ$7,4,FALSE)</f>
        <v>8.5000000000000006E-2</v>
      </c>
      <c r="F38" s="30">
        <f ca="1">(E38*(F37+F40))*(1+fac_iva)</f>
        <v>52898.910698181695</v>
      </c>
      <c r="G38" s="19" t="s">
        <v>73</v>
      </c>
    </row>
    <row r="39" spans="2:10" ht="57" customHeight="1" thickBot="1">
      <c r="B39" s="817" t="s">
        <v>74</v>
      </c>
      <c r="C39" s="817"/>
      <c r="D39" s="817"/>
      <c r="E39" s="29">
        <f ca="1">VLOOKUP(1,Factores!$AV$4:$AZ$7,5,FALSE)</f>
        <v>0.23799999999999999</v>
      </c>
      <c r="F39" s="30">
        <f ca="1">(E39*(F37+F40))*(1+fac_iva)</f>
        <v>148116.94995490872</v>
      </c>
      <c r="G39" s="19" t="s">
        <v>75</v>
      </c>
    </row>
    <row r="40" spans="2:10" ht="57" customHeight="1" thickBot="1">
      <c r="B40" s="818" t="s">
        <v>76</v>
      </c>
      <c r="C40" s="818"/>
      <c r="D40" s="818"/>
      <c r="E40" s="29">
        <v>0.05</v>
      </c>
      <c r="F40" s="30">
        <f ca="1">(E40*(F25+F31+F37))*(1+fac_iva)</f>
        <v>57072.738149615652</v>
      </c>
      <c r="G40" s="19" t="s">
        <v>77</v>
      </c>
    </row>
    <row r="41" spans="2:10" ht="15.95" customHeight="1" thickBot="1"/>
    <row r="42" spans="2:10" ht="15.95" customHeight="1" thickBot="1">
      <c r="B42" s="819" t="s">
        <v>78</v>
      </c>
      <c r="C42" s="819"/>
      <c r="D42" s="819"/>
      <c r="E42" s="711"/>
      <c r="F42" s="712">
        <f ca="1">F25+F29+F31+F37+F38+F39+F40</f>
        <v>1277762.8480590417</v>
      </c>
      <c r="J42" s="742"/>
    </row>
    <row r="43" spans="2:10" ht="15.95" customHeight="1" thickBot="1">
      <c r="B43" s="31"/>
      <c r="C43" s="31"/>
      <c r="D43" s="31"/>
      <c r="E43" s="31"/>
      <c r="F43" s="32"/>
      <c r="G43" s="33"/>
    </row>
    <row r="44" spans="2:10" ht="27.75" customHeight="1" thickBot="1">
      <c r="C44" s="731" t="s">
        <v>79</v>
      </c>
      <c r="D44" s="732">
        <f>C9</f>
        <v>45627</v>
      </c>
      <c r="E44" s="659" t="s">
        <v>80</v>
      </c>
      <c r="F44" s="660" t="s">
        <v>81</v>
      </c>
      <c r="G44" s="661" t="s">
        <v>82</v>
      </c>
    </row>
    <row r="45" spans="2:10" ht="27.75" customHeight="1" thickBot="1">
      <c r="B45" s="815" t="s">
        <v>83</v>
      </c>
      <c r="C45" s="815"/>
      <c r="D45" s="816"/>
      <c r="E45" s="662">
        <f>'Costo Mantenimiento'!$E$28</f>
        <v>134116.97217988723</v>
      </c>
      <c r="F45" s="26">
        <f>E45/Capacidad</f>
        <v>134.11697217988723</v>
      </c>
      <c r="G45" s="663">
        <f ca="1">E45/F42</f>
        <v>0.10496233505584761</v>
      </c>
    </row>
    <row r="47" spans="2:10" ht="15.95" customHeight="1">
      <c r="F47" s="34"/>
    </row>
    <row r="49" spans="6:6" ht="15.95" customHeight="1">
      <c r="F49" s="13"/>
    </row>
    <row r="50" spans="6:6" ht="15.95" customHeight="1">
      <c r="F50" s="35"/>
    </row>
    <row r="51" spans="6:6" ht="15.95" customHeight="1">
      <c r="F51" s="35"/>
    </row>
  </sheetData>
  <sheetProtection algorithmName="SHA-512" hashValue="ALAQGMGEJxmdwZQgVEtXAMNptlnER21T95mwSdbd3/FQZlG0QSH67UJrBiGSpVGf6+hnl6HALwVtNk4BLNVXCQ==" saltValue="fpADkPYtc88o9SYvXtEbag==" spinCount="100000" sheet="1" objects="1" scenarios="1"/>
  <mergeCells count="28">
    <mergeCell ref="C4:D4"/>
    <mergeCell ref="G30:G33"/>
    <mergeCell ref="F31:F33"/>
    <mergeCell ref="C32:C33"/>
    <mergeCell ref="D32:D33"/>
    <mergeCell ref="B23:C23"/>
    <mergeCell ref="B24:B26"/>
    <mergeCell ref="G24:G26"/>
    <mergeCell ref="F25:F26"/>
    <mergeCell ref="B27:C27"/>
    <mergeCell ref="F27:F28"/>
    <mergeCell ref="G27:G29"/>
    <mergeCell ref="B28:C28"/>
    <mergeCell ref="B29:C29"/>
    <mergeCell ref="B30:B33"/>
    <mergeCell ref="C30:C31"/>
    <mergeCell ref="G34:G37"/>
    <mergeCell ref="C36:C37"/>
    <mergeCell ref="D36:D37"/>
    <mergeCell ref="D30:D31"/>
    <mergeCell ref="B45:D45"/>
    <mergeCell ref="B38:D38"/>
    <mergeCell ref="B39:D39"/>
    <mergeCell ref="B40:D40"/>
    <mergeCell ref="B42:D42"/>
    <mergeCell ref="B34:B37"/>
    <mergeCell ref="C34:C35"/>
    <mergeCell ref="D34:D35"/>
  </mergeCells>
  <dataValidations count="6">
    <dataValidation type="list" allowBlank="1" showInputMessage="1" showErrorMessage="1" prompt="Rango de aplicación hasta 350.000 Bls. Para techo flotante mínimo 20.000 Bls y para techo cónico y geodésico mínimo 1.000 Bls" sqref="C17" xr:uid="{00000000-0002-0000-0200-000000000000}">
      <formula1>CapacidadRefinados</formula1>
    </dataValidation>
    <dataValidation type="list" allowBlank="1" showInputMessage="1" showErrorMessage="1" prompt="Zona de Colombia donde se realizará el proyecto" sqref="C20" xr:uid="{00000000-0002-0000-0200-000001000000}">
      <formula1>Region</formula1>
    </dataValidation>
    <dataValidation type="list" allowBlank="1" showInputMessage="1" showErrorMessage="1" sqref="C15" xr:uid="{00000000-0002-0000-0200-000004000000}">
      <formula1>"SI,NO,NO APLICA"</formula1>
    </dataValidation>
    <dataValidation type="list" allowBlank="1" showInputMessage="1" showErrorMessage="1" prompt="Definir si el techo del tanque es Flotante, Cónico o Geodésico_x000a_" sqref="C14" xr:uid="{00000000-0002-0000-0200-000002000000}">
      <formula1>INDIRECT(C13)</formula1>
    </dataValidation>
    <dataValidation type="list" allowBlank="1" showInputMessage="1" showErrorMessage="1" prompt="Requerido según características del suelo" sqref="C21" xr:uid="{EE5CCDF2-F101-9542-B079-E175A64AA5C8}">
      <formula1>"SI,NO"</formula1>
    </dataValidation>
    <dataValidation type="list" allowBlank="1" showInputMessage="1" showErrorMessage="1" sqref="C11" xr:uid="{618C4BDA-0677-F74F-9124-290E07B121AA}">
      <formula1>Fecha</formula1>
    </dataValidation>
  </dataValidations>
  <pageMargins left="0.7" right="0.7" top="0.75" bottom="0.75" header="0.51180555555555496" footer="0.51180555555555496"/>
  <pageSetup firstPageNumber="0" orientation="portrait" horizontalDpi="300" verticalDpi="30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9">
    <tabColor theme="9" tint="-0.499984740745262"/>
  </sheetPr>
  <dimension ref="B1:W5873"/>
  <sheetViews>
    <sheetView showGridLines="0" showRowColHeaders="0" zoomScaleNormal="100" workbookViewId="0">
      <selection activeCell="E27" sqref="E27"/>
    </sheetView>
  </sheetViews>
  <sheetFormatPr baseColWidth="10" defaultColWidth="11.42578125" defaultRowHeight="15"/>
  <cols>
    <col min="2" max="2" width="39.28515625" bestFit="1" customWidth="1"/>
    <col min="3" max="3" width="33.140625" customWidth="1"/>
    <col min="4" max="4" width="32" customWidth="1"/>
    <col min="6" max="6" width="64.28515625" customWidth="1"/>
    <col min="8" max="16" width="11.42578125" style="1"/>
    <col min="18" max="19" width="11.42578125" style="1"/>
    <col min="21" max="23" width="11.42578125" style="1"/>
  </cols>
  <sheetData>
    <row r="1" spans="2:23">
      <c r="C1" t="s">
        <v>84</v>
      </c>
      <c r="H1"/>
      <c r="I1"/>
      <c r="J1"/>
      <c r="K1"/>
      <c r="L1"/>
      <c r="M1"/>
      <c r="N1"/>
      <c r="O1"/>
      <c r="P1"/>
      <c r="R1"/>
      <c r="S1"/>
      <c r="U1"/>
      <c r="V1"/>
      <c r="W1"/>
    </row>
    <row r="2" spans="2:23" ht="75">
      <c r="B2" s="669" t="s">
        <v>85</v>
      </c>
      <c r="D2" t="s">
        <v>86</v>
      </c>
      <c r="F2" s="670" t="s">
        <v>87</v>
      </c>
      <c r="H2" s="41" t="s">
        <v>88</v>
      </c>
      <c r="I2" s="41" t="s">
        <v>85</v>
      </c>
      <c r="J2" s="41" t="s">
        <v>89</v>
      </c>
      <c r="K2" s="41" t="s">
        <v>36</v>
      </c>
      <c r="L2" s="41" t="s">
        <v>90</v>
      </c>
      <c r="M2" s="41" t="s">
        <v>91</v>
      </c>
      <c r="N2" s="41" t="s">
        <v>92</v>
      </c>
      <c r="O2" s="41" t="s">
        <v>93</v>
      </c>
      <c r="P2" s="41" t="s">
        <v>94</v>
      </c>
      <c r="R2" t="s">
        <v>95</v>
      </c>
      <c r="S2" t="s">
        <v>96</v>
      </c>
      <c r="U2" t="s">
        <v>97</v>
      </c>
      <c r="V2" s="691" t="s">
        <v>88</v>
      </c>
      <c r="W2" s="691" t="s">
        <v>98</v>
      </c>
    </row>
    <row r="3" spans="2:23">
      <c r="B3" s="671" t="s">
        <v>99</v>
      </c>
      <c r="C3" t="s">
        <v>100</v>
      </c>
      <c r="D3" s="672" t="s">
        <v>101</v>
      </c>
      <c r="F3" s="673" t="s">
        <v>102</v>
      </c>
      <c r="H3" s="667">
        <v>43617</v>
      </c>
      <c r="I3" s="668">
        <f>+AVERAGEIF(TRM_dia[MES],Tabla3[[#This Row],[Fecha]],TRM_dia[TRM])</f>
        <v>3260.5169999999989</v>
      </c>
      <c r="J3">
        <v>211.2</v>
      </c>
      <c r="K3">
        <v>102.71</v>
      </c>
      <c r="L3"/>
      <c r="M3">
        <v>197.4</v>
      </c>
      <c r="N3">
        <v>140.6</v>
      </c>
      <c r="O3" s="668">
        <f>+INDEX(Tabla2[Salarios],MATCH(YEAR(Tabla3[[#This Row],[Fecha]]),Tabla2[año],0))/Tabla3[[#This Row],[TRM año de cálculo $/USD]]</f>
        <v>253.98303397896723</v>
      </c>
      <c r="P3">
        <f>+Tabla3[[#This Row],[IPC]]/Tabla3[[#This Row],[TRM año de cálculo $/USD]]</f>
        <v>3.1501139236507596E-2</v>
      </c>
      <c r="R3">
        <v>2009</v>
      </c>
      <c r="S3" s="692">
        <v>496900</v>
      </c>
      <c r="U3" s="693">
        <f t="shared" ref="U3:U66" si="0">+DATE(YEAR(V3),MONTH(V3),1)</f>
        <v>39814</v>
      </c>
      <c r="V3" s="694">
        <v>39814</v>
      </c>
      <c r="W3" s="695">
        <v>2243.59</v>
      </c>
    </row>
    <row r="4" spans="2:23">
      <c r="B4" s="669" t="s">
        <v>36</v>
      </c>
      <c r="D4" s="672" t="s">
        <v>103</v>
      </c>
      <c r="F4" s="670" t="s">
        <v>104</v>
      </c>
      <c r="H4" s="667">
        <v>43647</v>
      </c>
      <c r="I4" s="668">
        <f>+AVERAGEIF(TRM_dia[MES],Tabla3[[#This Row],[Fecha]],TRM_dia[TRM])</f>
        <v>3206.6003225806448</v>
      </c>
      <c r="J4">
        <v>202.4</v>
      </c>
      <c r="K4">
        <v>102.94</v>
      </c>
      <c r="L4"/>
      <c r="M4">
        <v>196.2</v>
      </c>
      <c r="N4">
        <v>140.19999999999999</v>
      </c>
      <c r="O4" s="668">
        <f>+INDEX(Tabla2[Salarios],MATCH(YEAR(Tabla3[[#This Row],[Fecha]]),Tabla2[año],0))/Tabla3[[#This Row],[TRM año de cálculo $/USD]]</f>
        <v>258.25357596594364</v>
      </c>
      <c r="P4">
        <f>+Tabla3[[#This Row],[IPC]]/Tabla3[[#This Row],[TRM año de cálculo $/USD]]</f>
        <v>3.2102535284832368E-2</v>
      </c>
      <c r="R4">
        <v>2010</v>
      </c>
      <c r="S4" s="692">
        <v>515000</v>
      </c>
      <c r="U4" s="693">
        <f t="shared" si="0"/>
        <v>39814</v>
      </c>
      <c r="V4" s="694">
        <v>39815</v>
      </c>
      <c r="W4" s="695">
        <v>2243.59</v>
      </c>
    </row>
    <row r="5" spans="2:23">
      <c r="B5" s="9" t="s">
        <v>33</v>
      </c>
      <c r="C5" t="s">
        <v>90</v>
      </c>
      <c r="D5" s="672" t="s">
        <v>105</v>
      </c>
      <c r="F5" s="670" t="s">
        <v>106</v>
      </c>
      <c r="H5" s="667">
        <v>43678</v>
      </c>
      <c r="I5" s="668">
        <f>+AVERAGEIF(TRM_dia[MES],Tabla3[[#This Row],[Fecha]],TRM_dia[TRM])</f>
        <v>3410.7290322580643</v>
      </c>
      <c r="J5">
        <v>199.1</v>
      </c>
      <c r="K5">
        <v>103.03</v>
      </c>
      <c r="L5"/>
      <c r="M5">
        <v>197.4</v>
      </c>
      <c r="N5">
        <v>140.4</v>
      </c>
      <c r="O5" s="668">
        <f>+INDEX(Tabla2[Salarios],MATCH(YEAR(Tabla3[[#This Row],[Fecha]]),Tabla2[año],0))/Tabla3[[#This Row],[TRM año de cálculo $/USD]]</f>
        <v>242.79735861976346</v>
      </c>
      <c r="P5">
        <f>+Tabla3[[#This Row],[IPC]]/Tabla3[[#This Row],[TRM año de cálculo $/USD]]</f>
        <v>3.0207618085623548E-2</v>
      </c>
      <c r="R5">
        <v>2011</v>
      </c>
      <c r="S5" s="692">
        <v>535600</v>
      </c>
      <c r="U5" s="693">
        <f t="shared" si="0"/>
        <v>39814</v>
      </c>
      <c r="V5" s="694">
        <v>39816</v>
      </c>
      <c r="W5" s="695">
        <v>2234.81</v>
      </c>
    </row>
    <row r="6" spans="2:23">
      <c r="B6" s="671" t="s">
        <v>107</v>
      </c>
      <c r="C6" s="672" t="s">
        <v>108</v>
      </c>
      <c r="D6" s="672" t="s">
        <v>109</v>
      </c>
      <c r="F6" s="673" t="s">
        <v>102</v>
      </c>
      <c r="H6" s="667">
        <v>43709</v>
      </c>
      <c r="I6" s="668">
        <f>+AVERAGEIF(TRM_dia[MES],Tabla3[[#This Row],[Fecha]],TRM_dia[TRM])</f>
        <v>3399.4570000000008</v>
      </c>
      <c r="J6">
        <v>197.9</v>
      </c>
      <c r="K6">
        <v>103.26</v>
      </c>
      <c r="L6"/>
      <c r="M6">
        <v>194.9</v>
      </c>
      <c r="N6">
        <v>140</v>
      </c>
      <c r="O6" s="668">
        <f>+INDEX(Tabla2[Salarios],MATCH(YEAR(Tabla3[[#This Row],[Fecha]]),Tabla2[año],0))/Tabla3[[#This Row],[TRM año de cálculo $/USD]]</f>
        <v>243.60243415345445</v>
      </c>
      <c r="P6">
        <f>+Tabla3[[#This Row],[IPC]]/Tabla3[[#This Row],[TRM año de cálculo $/USD]]</f>
        <v>3.0375439371640819E-2</v>
      </c>
      <c r="R6">
        <v>2012</v>
      </c>
      <c r="S6" s="692">
        <v>566700</v>
      </c>
      <c r="U6" s="693">
        <f t="shared" si="0"/>
        <v>39814</v>
      </c>
      <c r="V6" s="694">
        <v>39817</v>
      </c>
      <c r="W6" s="695">
        <v>2234.81</v>
      </c>
    </row>
    <row r="7" spans="2:23">
      <c r="B7" s="669" t="s">
        <v>92</v>
      </c>
      <c r="C7" t="s">
        <v>110</v>
      </c>
      <c r="D7" s="672" t="s">
        <v>111</v>
      </c>
      <c r="F7" s="673" t="s">
        <v>102</v>
      </c>
      <c r="H7" s="667">
        <v>43739</v>
      </c>
      <c r="I7" s="668">
        <f>+AVERAGEIF(TRM_dia[MES],Tabla3[[#This Row],[Fecha]],TRM_dia[TRM])</f>
        <v>3433.311612903226</v>
      </c>
      <c r="J7">
        <v>193.1</v>
      </c>
      <c r="K7">
        <v>103.43</v>
      </c>
      <c r="L7"/>
      <c r="M7">
        <v>195.2</v>
      </c>
      <c r="N7">
        <v>140</v>
      </c>
      <c r="O7" s="668">
        <f>+INDEX(Tabla2[Salarios],MATCH(YEAR(Tabla3[[#This Row],[Fecha]]),Tabla2[año],0))/Tabla3[[#This Row],[TRM año de cálculo $/USD]]</f>
        <v>241.2003608666738</v>
      </c>
      <c r="P7">
        <f>+Tabla3[[#This Row],[IPC]]/Tabla3[[#This Row],[TRM año de cálculo $/USD]]</f>
        <v>3.0125433302146166E-2</v>
      </c>
      <c r="R7">
        <v>2013</v>
      </c>
      <c r="S7" s="692">
        <v>589500</v>
      </c>
      <c r="U7" s="693">
        <f t="shared" si="0"/>
        <v>39814</v>
      </c>
      <c r="V7" s="694">
        <v>39818</v>
      </c>
      <c r="W7" s="695">
        <v>2234.81</v>
      </c>
    </row>
    <row r="8" spans="2:23">
      <c r="B8" s="669" t="s">
        <v>38</v>
      </c>
      <c r="C8" t="s">
        <v>112</v>
      </c>
      <c r="F8" s="710" t="s">
        <v>113</v>
      </c>
      <c r="H8" s="667">
        <v>43770</v>
      </c>
      <c r="I8" s="668">
        <f>+AVERAGEIF(TRM_dia[MES],Tabla3[[#This Row],[Fecha]],TRM_dia[TRM])</f>
        <v>3401.4730000000004</v>
      </c>
      <c r="J8">
        <v>189.6</v>
      </c>
      <c r="K8">
        <v>103.54</v>
      </c>
      <c r="L8"/>
      <c r="M8">
        <v>193.7</v>
      </c>
      <c r="N8">
        <v>140</v>
      </c>
      <c r="O8" s="668">
        <f>+INDEX(Tabla2[Salarios],MATCH(YEAR(Tabla3[[#This Row],[Fecha]]),Tabla2[año],0))/Tabla3[[#This Row],[TRM año de cálculo $/USD]]</f>
        <v>243.4580547897925</v>
      </c>
      <c r="P8">
        <f>+Tabla3[[#This Row],[IPC]]/Tabla3[[#This Row],[TRM año de cálculo $/USD]]</f>
        <v>3.0439753600866447E-2</v>
      </c>
      <c r="R8">
        <v>2014</v>
      </c>
      <c r="S8" s="692">
        <v>616000</v>
      </c>
      <c r="U8" s="693">
        <f t="shared" si="0"/>
        <v>39814</v>
      </c>
      <c r="V8" s="694">
        <v>39819</v>
      </c>
      <c r="W8" s="695">
        <v>2227.2399999999998</v>
      </c>
    </row>
    <row r="9" spans="2:23">
      <c r="B9" s="718" t="s">
        <v>114</v>
      </c>
      <c r="H9" s="667">
        <v>43800</v>
      </c>
      <c r="I9" s="668">
        <f>+AVERAGEIF(TRM_dia[MES],Tabla3[[#This Row],[Fecha]],TRM_dia[TRM])</f>
        <v>3378.050645161291</v>
      </c>
      <c r="J9">
        <v>186.1</v>
      </c>
      <c r="K9">
        <v>103.8</v>
      </c>
      <c r="L9"/>
      <c r="M9">
        <v>193.9</v>
      </c>
      <c r="N9">
        <v>140.1</v>
      </c>
      <c r="O9" s="668">
        <f>+INDEX(Tabla2[Salarios],MATCH(YEAR(Tabla3[[#This Row],[Fecha]]),Tabla2[año],0))/Tabla3[[#This Row],[TRM año de cálculo $/USD]]</f>
        <v>245.14611738760954</v>
      </c>
      <c r="P9">
        <f>+Tabla3[[#This Row],[IPC]]/Tabla3[[#This Row],[TRM año de cálculo $/USD]]</f>
        <v>3.0727780872285851E-2</v>
      </c>
      <c r="R9">
        <v>2015</v>
      </c>
      <c r="S9" s="692">
        <v>644350</v>
      </c>
      <c r="U9" s="693">
        <f t="shared" si="0"/>
        <v>39814</v>
      </c>
      <c r="V9" s="694">
        <v>39820</v>
      </c>
      <c r="W9" s="695">
        <v>2197.7199999999998</v>
      </c>
    </row>
    <row r="10" spans="2:23">
      <c r="H10" s="667">
        <v>43831</v>
      </c>
      <c r="I10" s="668">
        <f>+AVERAGEIF(TRM_dia[MES],Tabla3[[#This Row],[Fecha]],TRM_dia[TRM])</f>
        <v>3311.1893548387097</v>
      </c>
      <c r="J10">
        <v>188.9</v>
      </c>
      <c r="K10">
        <v>104.24</v>
      </c>
      <c r="L10"/>
      <c r="M10">
        <v>192.7</v>
      </c>
      <c r="N10">
        <v>142.1</v>
      </c>
      <c r="O10" s="668">
        <f>+INDEX(Tabla2[Salarios],MATCH(YEAR(Tabla3[[#This Row],[Fecha]]),Tabla2[año],0))/Tabla3[[#This Row],[TRM año de cálculo $/USD]]</f>
        <v>265.10202405587233</v>
      </c>
      <c r="P10">
        <f>+Tabla3[[#This Row],[IPC]]/Tabla3[[#This Row],[TRM año de cálculo $/USD]]</f>
        <v>3.1481135274753137E-2</v>
      </c>
      <c r="R10">
        <v>2016</v>
      </c>
      <c r="S10" s="692">
        <v>689455</v>
      </c>
      <c r="U10" s="693">
        <f t="shared" si="0"/>
        <v>39814</v>
      </c>
      <c r="V10" s="694">
        <v>39821</v>
      </c>
      <c r="W10" s="695">
        <v>2214.13</v>
      </c>
    </row>
    <row r="11" spans="2:23">
      <c r="H11" s="667">
        <v>43862</v>
      </c>
      <c r="I11" s="668">
        <f>+AVERAGEIF(TRM_dia[MES],Tabla3[[#This Row],[Fecha]],TRM_dia[TRM])</f>
        <v>3411.0527586206899</v>
      </c>
      <c r="J11">
        <v>188.3</v>
      </c>
      <c r="K11">
        <v>104.94</v>
      </c>
      <c r="L11"/>
      <c r="M11">
        <v>192.7</v>
      </c>
      <c r="N11">
        <v>143.9</v>
      </c>
      <c r="O11" s="668">
        <f>+INDEX(Tabla2[Salarios],MATCH(YEAR(Tabla3[[#This Row],[Fecha]]),Tabla2[año],0))/Tabla3[[#This Row],[TRM año de cálculo $/USD]]</f>
        <v>257.34078658899216</v>
      </c>
      <c r="P11">
        <f>+Tabla3[[#This Row],[IPC]]/Tabla3[[#This Row],[TRM año de cálculo $/USD]]</f>
        <v>3.0764695660243629E-2</v>
      </c>
      <c r="R11">
        <v>2017</v>
      </c>
      <c r="S11" s="692">
        <v>737717</v>
      </c>
      <c r="U11" s="693">
        <f t="shared" si="0"/>
        <v>39814</v>
      </c>
      <c r="V11" s="694">
        <v>39822</v>
      </c>
      <c r="W11" s="695">
        <v>2220.8200000000002</v>
      </c>
    </row>
    <row r="12" spans="2:23">
      <c r="C12" s="706">
        <f>+MATCH(Inicio!C11,Tabla3[Fecha],0)</f>
        <v>67</v>
      </c>
      <c r="D12" s="706">
        <f>+MATCH(Inicio!C9,Tabla3[Fecha],0)</f>
        <v>67</v>
      </c>
      <c r="H12" s="667">
        <v>43891</v>
      </c>
      <c r="I12" s="668">
        <f>+AVERAGEIF(TRM_dia[MES],Tabla3[[#This Row],[Fecha]],TRM_dia[TRM])</f>
        <v>3877.0483870967751</v>
      </c>
      <c r="J12">
        <v>191.1</v>
      </c>
      <c r="K12">
        <v>105.53</v>
      </c>
      <c r="L12"/>
      <c r="M12">
        <v>188.8</v>
      </c>
      <c r="N12">
        <v>143.9</v>
      </c>
      <c r="O12" s="668">
        <f>+INDEX(Tabla2[Salarios],MATCH(YEAR(Tabla3[[#This Row],[Fecha]]),Tabla2[año],0))/Tabla3[[#This Row],[TRM año de cálculo $/USD]]</f>
        <v>226.41012243267861</v>
      </c>
      <c r="P12">
        <f>+Tabla3[[#This Row],[IPC]]/Tabla3[[#This Row],[TRM año de cálculo $/USD]]</f>
        <v>2.7219159902985721E-2</v>
      </c>
      <c r="R12">
        <v>2018</v>
      </c>
      <c r="S12" s="692">
        <v>781242</v>
      </c>
      <c r="U12" s="693">
        <f t="shared" si="0"/>
        <v>39814</v>
      </c>
      <c r="V12" s="694">
        <v>39823</v>
      </c>
      <c r="W12" s="695">
        <v>2216.23</v>
      </c>
    </row>
    <row r="13" spans="2:23">
      <c r="B13" s="1"/>
      <c r="C13" s="7" t="s">
        <v>20</v>
      </c>
      <c r="D13" s="7" t="s">
        <v>21</v>
      </c>
      <c r="H13" s="667">
        <v>43922</v>
      </c>
      <c r="I13" s="668">
        <f>+AVERAGEIF(TRM_dia[MES],Tabla3[[#This Row],[Fecha]],TRM_dia[TRM])</f>
        <v>3977.3933333333321</v>
      </c>
      <c r="J13">
        <v>191.4</v>
      </c>
      <c r="K13">
        <v>105.7</v>
      </c>
      <c r="L13"/>
      <c r="M13">
        <v>185</v>
      </c>
      <c r="N13">
        <v>143.9</v>
      </c>
      <c r="O13" s="668">
        <f>+INDEX(Tabla2[Salarios],MATCH(YEAR(Tabla3[[#This Row],[Fecha]]),Tabla2[año],0))/Tabla3[[#This Row],[TRM año de cálculo $/USD]]</f>
        <v>220.69806187972364</v>
      </c>
      <c r="P13">
        <f>+Tabla3[[#This Row],[IPC]]/Tabla3[[#This Row],[TRM año de cálculo $/USD]]</f>
        <v>2.6575194138874884E-2</v>
      </c>
      <c r="R13">
        <v>2019</v>
      </c>
      <c r="S13" s="692">
        <v>828116</v>
      </c>
      <c r="U13" s="693">
        <f t="shared" si="0"/>
        <v>39814</v>
      </c>
      <c r="V13" s="694">
        <v>39824</v>
      </c>
      <c r="W13" s="695">
        <v>2216.23</v>
      </c>
    </row>
    <row r="14" spans="2:23">
      <c r="B14" s="1"/>
      <c r="C14" s="719">
        <f>Inicio!C11</f>
        <v>45627</v>
      </c>
      <c r="D14" s="719">
        <f>Inicio!C9</f>
        <v>45627</v>
      </c>
      <c r="H14" s="667">
        <v>43952</v>
      </c>
      <c r="I14" s="668">
        <f>+AVERAGEIF(TRM_dia[MES],Tabla3[[#This Row],[Fecha]],TRM_dia[TRM])</f>
        <v>3858.1916129032265</v>
      </c>
      <c r="J14">
        <v>188.8</v>
      </c>
      <c r="K14">
        <v>105.36</v>
      </c>
      <c r="L14"/>
      <c r="M14">
        <v>174.7</v>
      </c>
      <c r="N14">
        <v>143.80000000000001</v>
      </c>
      <c r="O14" s="668">
        <f>+INDEX(Tabla2[Salarios],MATCH(YEAR(Tabla3[[#This Row],[Fecha]]),Tabla2[año],0))/Tabla3[[#This Row],[TRM año de cálculo $/USD]]</f>
        <v>227.51669384804543</v>
      </c>
      <c r="P14">
        <f>+Tabla3[[#This Row],[IPC]]/Tabla3[[#This Row],[TRM año de cálculo $/USD]]</f>
        <v>2.7308130484664631E-2</v>
      </c>
      <c r="R14">
        <v>2020</v>
      </c>
      <c r="S14" s="692">
        <v>877803</v>
      </c>
      <c r="U14" s="693">
        <f t="shared" si="0"/>
        <v>39814</v>
      </c>
      <c r="V14" s="694">
        <v>39825</v>
      </c>
      <c r="W14" s="695">
        <v>2216.23</v>
      </c>
    </row>
    <row r="15" spans="2:23">
      <c r="B15" s="9" t="s">
        <v>24</v>
      </c>
      <c r="C15" s="917" cm="1">
        <f t="array" ref="C15">+INDEX(Tabla3[TRM año de cálculo $/USD],$C$12)</f>
        <v>4385.1487096774199</v>
      </c>
      <c r="D15" s="10" cm="1">
        <f t="array" ref="D15">+INDEX(Tabla3[TRM año de cálculo $/USD],$D$12)</f>
        <v>4385.1487096774199</v>
      </c>
      <c r="H15" s="667">
        <v>43983</v>
      </c>
      <c r="I15" s="668">
        <f>+AVERAGEIF(TRM_dia[MES],Tabla3[[#This Row],[Fecha]],TRM_dia[TRM])</f>
        <v>3701.6043333333346</v>
      </c>
      <c r="J15">
        <v>185.9</v>
      </c>
      <c r="K15">
        <v>104.97</v>
      </c>
      <c r="L15"/>
      <c r="M15">
        <v>173.1</v>
      </c>
      <c r="N15">
        <v>144.1</v>
      </c>
      <c r="O15" s="668">
        <f>+INDEX(Tabla2[Salarios],MATCH(YEAR(Tabla3[[#This Row],[Fecha]]),Tabla2[año],0))/Tabla3[[#This Row],[TRM año de cálculo $/USD]]</f>
        <v>237.14122876269948</v>
      </c>
      <c r="P15">
        <f>+Tabla3[[#This Row],[IPC]]/Tabla3[[#This Row],[TRM año de cálculo $/USD]]</f>
        <v>2.835797415048771E-2</v>
      </c>
      <c r="R15">
        <v>2021</v>
      </c>
      <c r="S15" s="692">
        <v>908526</v>
      </c>
      <c r="U15" s="693">
        <f t="shared" si="0"/>
        <v>39814</v>
      </c>
      <c r="V15" s="694">
        <v>39826</v>
      </c>
      <c r="W15" s="695">
        <v>2216.23</v>
      </c>
    </row>
    <row r="16" spans="2:23">
      <c r="B16" s="9" t="s">
        <v>115</v>
      </c>
      <c r="C16" s="917" cm="1">
        <f t="array" ref="C16">+INDEX(Tabla3[PPI USA - ACERO],$C$12)</f>
        <v>255.18600000000001</v>
      </c>
      <c r="D16" s="10" cm="1">
        <f t="array" ref="D16">+INDEX(Tabla3[PPI USA - ACERO],$D$12)</f>
        <v>255.18600000000001</v>
      </c>
      <c r="H16" s="667">
        <v>44013</v>
      </c>
      <c r="I16" s="668">
        <f>+AVERAGEIF(TRM_dia[MES],Tabla3[[#This Row],[Fecha]],TRM_dia[TRM])</f>
        <v>3657.8667741935478</v>
      </c>
      <c r="J16">
        <v>185.9</v>
      </c>
      <c r="K16">
        <v>104.97</v>
      </c>
      <c r="L16"/>
      <c r="M16">
        <v>177.6</v>
      </c>
      <c r="N16">
        <v>144.1</v>
      </c>
      <c r="O16" s="668">
        <f>+INDEX(Tabla2[Salarios],MATCH(YEAR(Tabla3[[#This Row],[Fecha]]),Tabla2[año],0))/Tabla3[[#This Row],[TRM año de cálculo $/USD]]</f>
        <v>239.97675535723408</v>
      </c>
      <c r="P16">
        <f>+Tabla3[[#This Row],[IPC]]/Tabla3[[#This Row],[TRM año de cálculo $/USD]]</f>
        <v>2.8697053906000389E-2</v>
      </c>
      <c r="R16">
        <v>2022</v>
      </c>
      <c r="S16" s="692">
        <v>1000000</v>
      </c>
      <c r="U16" s="693">
        <f t="shared" si="0"/>
        <v>39814</v>
      </c>
      <c r="V16" s="694">
        <v>39827</v>
      </c>
      <c r="W16" s="695">
        <v>2226.87</v>
      </c>
    </row>
    <row r="17" spans="2:23">
      <c r="B17" s="9" t="s">
        <v>116</v>
      </c>
      <c r="C17" s="917" cm="1">
        <f t="array" ref="C17">+INDEX(Tabla3[PPI USA - Aluminio],$C$12)</f>
        <v>270.44200000000001</v>
      </c>
      <c r="D17" s="10" cm="1">
        <f t="array" ref="D17">+INDEX(Tabla3[PPI USA - Aluminio],$D$12)</f>
        <v>270.44200000000001</v>
      </c>
      <c r="H17" s="667">
        <v>44044</v>
      </c>
      <c r="I17" s="668">
        <f>+AVERAGEIF(TRM_dia[MES],Tabla3[[#This Row],[Fecha]],TRM_dia[TRM])</f>
        <v>3783.0258064516138</v>
      </c>
      <c r="J17">
        <v>183.6</v>
      </c>
      <c r="K17">
        <v>104.96</v>
      </c>
      <c r="L17"/>
      <c r="M17">
        <v>182.3</v>
      </c>
      <c r="N17">
        <v>144.1</v>
      </c>
      <c r="O17" s="668">
        <f>+INDEX(Tabla2[Salarios],MATCH(YEAR(Tabla3[[#This Row],[Fecha]]),Tabla2[año],0))/Tabla3[[#This Row],[TRM año de cálculo $/USD]]</f>
        <v>232.03727516290931</v>
      </c>
      <c r="P17">
        <f>+Tabla3[[#This Row],[IPC]]/Tabla3[[#This Row],[TRM año de cálculo $/USD]]</f>
        <v>2.7744986518727959E-2</v>
      </c>
      <c r="R17" s="1">
        <v>2023</v>
      </c>
      <c r="S17" s="784">
        <v>1160000</v>
      </c>
      <c r="U17" s="693">
        <f t="shared" si="0"/>
        <v>39814</v>
      </c>
      <c r="V17" s="694">
        <v>39828</v>
      </c>
      <c r="W17" s="695">
        <v>2234.4</v>
      </c>
    </row>
    <row r="18" spans="2:23">
      <c r="B18" s="9" t="s">
        <v>30</v>
      </c>
      <c r="C18" s="917" cm="1">
        <f t="array" ref="C18">+INDEX(Tabla3[PPI USA – INSTR. DE CONTROL PROC. INDUSTR.],$C$12)</f>
        <v>185.55799999999999</v>
      </c>
      <c r="D18" s="10" cm="1">
        <f t="array" ref="D18">+INDEX(Tabla3[PPI USA – INSTR. DE CONTROL PROC. INDUSTR.],$D$12)</f>
        <v>185.55799999999999</v>
      </c>
      <c r="H18" s="667">
        <v>44075</v>
      </c>
      <c r="I18" s="668">
        <f>+AVERAGEIF(TRM_dia[MES],Tabla3[[#This Row],[Fecha]],TRM_dia[TRM])</f>
        <v>3750.2153333333326</v>
      </c>
      <c r="J18">
        <v>181.2</v>
      </c>
      <c r="K18">
        <v>105.29</v>
      </c>
      <c r="L18"/>
      <c r="M18">
        <v>190.3</v>
      </c>
      <c r="N18">
        <v>144.1</v>
      </c>
      <c r="O18" s="668">
        <f>+INDEX(Tabla2[Salarios],MATCH(YEAR(Tabla3[[#This Row],[Fecha]]),Tabla2[año],0))/Tabla3[[#This Row],[TRM año de cálculo $/USD]]</f>
        <v>234.0673593320775</v>
      </c>
      <c r="P18">
        <f>+Tabla3[[#This Row],[IPC]]/Tabla3[[#This Row],[TRM año de cálculo $/USD]]</f>
        <v>2.8075721163033668E-2</v>
      </c>
      <c r="R18" s="1">
        <v>2024</v>
      </c>
      <c r="S18" s="785">
        <v>1300000</v>
      </c>
      <c r="U18" s="693">
        <f t="shared" si="0"/>
        <v>39814</v>
      </c>
      <c r="V18" s="694">
        <v>39829</v>
      </c>
      <c r="W18" s="695">
        <v>2249.64</v>
      </c>
    </row>
    <row r="19" spans="2:23">
      <c r="B19" s="9" t="s">
        <v>33</v>
      </c>
      <c r="C19" s="917" cm="1">
        <f t="array" ref="C19">+INDEX(Tabla3[ICOCIV],$C$12)</f>
        <v>131.25</v>
      </c>
      <c r="D19" s="10" cm="1">
        <f t="array" ref="D19">+INDEX(Tabla3[ICOCIV],$D$12)</f>
        <v>131.25</v>
      </c>
      <c r="H19" s="667">
        <v>44105</v>
      </c>
      <c r="I19" s="668">
        <f>+AVERAGEIF(TRM_dia[MES],Tabla3[[#This Row],[Fecha]],TRM_dia[TRM])</f>
        <v>3833.7883870967744</v>
      </c>
      <c r="J19">
        <v>182.7</v>
      </c>
      <c r="K19">
        <v>105.23</v>
      </c>
      <c r="L19"/>
      <c r="M19">
        <v>190.7</v>
      </c>
      <c r="N19">
        <v>144.6</v>
      </c>
      <c r="O19" s="668">
        <f>+INDEX(Tabla2[Salarios],MATCH(YEAR(Tabla3[[#This Row],[Fecha]]),Tabla2[año],0))/Tabla3[[#This Row],[TRM año de cálculo $/USD]]</f>
        <v>228.96490660631815</v>
      </c>
      <c r="P19">
        <f>+Tabla3[[#This Row],[IPC]]/Tabla3[[#This Row],[TRM año de cálculo $/USD]]</f>
        <v>2.7448045999139737E-2</v>
      </c>
      <c r="U19" s="693">
        <f t="shared" si="0"/>
        <v>39814</v>
      </c>
      <c r="V19" s="694">
        <v>39830</v>
      </c>
      <c r="W19" s="695">
        <v>2227.6799999999998</v>
      </c>
    </row>
    <row r="20" spans="2:23">
      <c r="B20" s="8" t="s">
        <v>36</v>
      </c>
      <c r="C20" s="918" cm="1">
        <f t="array" ref="C20">+INDEX(Tabla3[IPC],$C$12)</f>
        <v>144.88</v>
      </c>
      <c r="D20" s="10" cm="1">
        <f t="array" ref="D20">+INDEX(Tabla3[IPC],$D$12)</f>
        <v>144.88</v>
      </c>
      <c r="H20" s="667">
        <v>44136</v>
      </c>
      <c r="I20" s="668">
        <f>+AVERAGEIF(TRM_dia[MES],Tabla3[[#This Row],[Fecha]],TRM_dia[TRM])</f>
        <v>3685.6266666666661</v>
      </c>
      <c r="J20">
        <v>186.6</v>
      </c>
      <c r="K20">
        <v>105.08</v>
      </c>
      <c r="L20"/>
      <c r="M20">
        <v>191.2</v>
      </c>
      <c r="N20">
        <v>144.9</v>
      </c>
      <c r="O20" s="668">
        <f>+INDEX(Tabla2[Salarios],MATCH(YEAR(Tabla3[[#This Row],[Fecha]]),Tabla2[año],0))/Tabla3[[#This Row],[TRM año de cálculo $/USD]]</f>
        <v>238.16926655620756</v>
      </c>
      <c r="P20">
        <f>+Tabla3[[#This Row],[IPC]]/Tabla3[[#This Row],[TRM año de cálculo $/USD]]</f>
        <v>2.8510755294441113E-2</v>
      </c>
      <c r="U20" s="693">
        <f t="shared" si="0"/>
        <v>39814</v>
      </c>
      <c r="V20" s="694">
        <v>39831</v>
      </c>
      <c r="W20" s="695">
        <v>2227.6799999999998</v>
      </c>
    </row>
    <row r="21" spans="2:23">
      <c r="B21" s="8" t="s">
        <v>38</v>
      </c>
      <c r="C21" s="690" cm="1">
        <f t="array" ref="C21">+INDEX(Tabla3[FACTOR  INCREMENTO MANO DE OBRA],$C$12)</f>
        <v>296.45516858552116</v>
      </c>
      <c r="D21" s="10" cm="1">
        <f t="array" ref="D21">+INDEX(Tabla3[FACTOR  INCREMENTO MANO DE OBRA],$D$12)</f>
        <v>296.45516858552116</v>
      </c>
      <c r="H21" s="667">
        <v>44166</v>
      </c>
      <c r="I21" s="668">
        <f>+AVERAGEIF(TRM_dia[MES],Tabla3[[#This Row],[Fecha]],TRM_dia[TRM])</f>
        <v>3466.1270967741934</v>
      </c>
      <c r="J21">
        <v>188.7</v>
      </c>
      <c r="K21">
        <v>105.48</v>
      </c>
      <c r="L21"/>
      <c r="M21">
        <v>197.4</v>
      </c>
      <c r="N21">
        <v>145</v>
      </c>
      <c r="O21" s="668">
        <f>+INDEX(Tabla2[Salarios],MATCH(YEAR(Tabla3[[#This Row],[Fecha]]),Tabla2[año],0))/Tabla3[[#This Row],[TRM año de cálculo $/USD]]</f>
        <v>253.25182126672198</v>
      </c>
      <c r="P21">
        <f>+Tabla3[[#This Row],[IPC]]/Tabla3[[#This Row],[TRM año de cálculo $/USD]]</f>
        <v>3.0431659617492574E-2</v>
      </c>
      <c r="U21" s="693">
        <f t="shared" si="0"/>
        <v>39814</v>
      </c>
      <c r="V21" s="694">
        <v>39832</v>
      </c>
      <c r="W21" s="695">
        <v>2227.6799999999998</v>
      </c>
    </row>
    <row r="22" spans="2:23">
      <c r="B22" s="8" t="s">
        <v>117</v>
      </c>
      <c r="C22" s="690">
        <v>0.1</v>
      </c>
      <c r="D22" s="10">
        <v>0.1</v>
      </c>
      <c r="H22" s="667">
        <v>44197</v>
      </c>
      <c r="I22" s="668">
        <f>+AVERAGEIF(TRM_dia[MES],Tabla3[[#This Row],[Fecha]],TRM_dia[TRM])</f>
        <v>3491.3216129032267</v>
      </c>
      <c r="J22">
        <v>197.4</v>
      </c>
      <c r="K22">
        <v>105.91</v>
      </c>
      <c r="L22">
        <v>100.89</v>
      </c>
      <c r="M22">
        <v>205.7</v>
      </c>
      <c r="N22">
        <v>144.9</v>
      </c>
      <c r="O22" s="668">
        <f>+INDEX(Tabla2[Salarios],MATCH(YEAR(Tabla3[[#This Row],[Fecha]]),Tabla2[año],0))/Tabla3[[#This Row],[TRM año de cálculo $/USD]]</f>
        <v>260.22409297449695</v>
      </c>
      <c r="P22">
        <f>+Tabla3[[#This Row],[IPC]]/Tabla3[[#This Row],[TRM año de cálculo $/USD]]</f>
        <v>3.0335217359689182E-2</v>
      </c>
      <c r="U22" s="693">
        <f t="shared" si="0"/>
        <v>39814</v>
      </c>
      <c r="V22" s="694">
        <v>39833</v>
      </c>
      <c r="W22" s="695">
        <v>2227.6799999999998</v>
      </c>
    </row>
    <row r="23" spans="2:23">
      <c r="H23" s="667">
        <v>44228</v>
      </c>
      <c r="I23" s="668">
        <f>+AVERAGEIF(TRM_dia[MES],Tabla3[[#This Row],[Fecha]],TRM_dia[TRM])</f>
        <v>3554.5042857142844</v>
      </c>
      <c r="J23">
        <v>215.9</v>
      </c>
      <c r="K23">
        <v>106.58</v>
      </c>
      <c r="L23">
        <v>101.35</v>
      </c>
      <c r="M23">
        <v>206.8</v>
      </c>
      <c r="N23">
        <v>145</v>
      </c>
      <c r="O23" s="668">
        <f>+INDEX(Tabla2[Salarios],MATCH(YEAR(Tabla3[[#This Row],[Fecha]]),Tabla2[año],0))/Tabla3[[#This Row],[TRM año de cálculo $/USD]]</f>
        <v>255.59851022023173</v>
      </c>
      <c r="P23">
        <f>+Tabla3[[#This Row],[IPC]]/Tabla3[[#This Row],[TRM año de cálculo $/USD]]</f>
        <v>2.9984490503598464E-2</v>
      </c>
      <c r="U23" s="693">
        <f t="shared" si="0"/>
        <v>39814</v>
      </c>
      <c r="V23" s="694">
        <v>39834</v>
      </c>
      <c r="W23" s="695">
        <v>2245.2800000000002</v>
      </c>
    </row>
    <row r="24" spans="2:23">
      <c r="H24" s="667">
        <v>44256</v>
      </c>
      <c r="I24" s="668">
        <f>+AVERAGEIF(TRM_dia[MES],Tabla3[[#This Row],[Fecha]],TRM_dia[TRM])</f>
        <v>3612.7683870967749</v>
      </c>
      <c r="J24">
        <v>228</v>
      </c>
      <c r="K24">
        <v>107.12</v>
      </c>
      <c r="L24">
        <v>101.8</v>
      </c>
      <c r="M24">
        <v>213.2</v>
      </c>
      <c r="N24">
        <v>145.30000000000001</v>
      </c>
      <c r="O24" s="668">
        <f>+INDEX(Tabla2[Salarios],MATCH(YEAR(Tabla3[[#This Row],[Fecha]]),Tabla2[año],0))/Tabla3[[#This Row],[TRM año de cálculo $/USD]]</f>
        <v>251.47640331576656</v>
      </c>
      <c r="P24">
        <f>+Tabla3[[#This Row],[IPC]]/Tabla3[[#This Row],[TRM año de cálculo $/USD]]</f>
        <v>2.9650392309284394E-2</v>
      </c>
      <c r="U24" s="693">
        <f t="shared" si="0"/>
        <v>39814</v>
      </c>
      <c r="V24" s="694">
        <v>39835</v>
      </c>
      <c r="W24" s="695">
        <v>2245.9699999999998</v>
      </c>
    </row>
    <row r="25" spans="2:23">
      <c r="H25" s="667">
        <v>44287</v>
      </c>
      <c r="I25" s="668">
        <f>+AVERAGEIF(TRM_dia[MES],Tabla3[[#This Row],[Fecha]],TRM_dia[TRM])</f>
        <v>3650.7760000000007</v>
      </c>
      <c r="J25">
        <v>233</v>
      </c>
      <c r="K25">
        <v>107.76</v>
      </c>
      <c r="L25">
        <v>102.34</v>
      </c>
      <c r="M25">
        <v>221.3</v>
      </c>
      <c r="N25">
        <v>145.30000000000001</v>
      </c>
      <c r="O25" s="668">
        <f>+INDEX(Tabla2[Salarios],MATCH(YEAR(Tabla3[[#This Row],[Fecha]]),Tabla2[año],0))/Tabla3[[#This Row],[TRM año de cálculo $/USD]]</f>
        <v>248.85832491503172</v>
      </c>
      <c r="P25">
        <f>+Tabla3[[#This Row],[IPC]]/Tabla3[[#This Row],[TRM año de cálculo $/USD]]</f>
        <v>2.9517012273554986E-2</v>
      </c>
      <c r="U25" s="693">
        <f t="shared" si="0"/>
        <v>39814</v>
      </c>
      <c r="V25" s="694">
        <v>39836</v>
      </c>
      <c r="W25" s="695">
        <v>2247.87</v>
      </c>
    </row>
    <row r="26" spans="2:23">
      <c r="B26" s="836" t="s">
        <v>118</v>
      </c>
      <c r="C26" s="836"/>
      <c r="D26" s="836"/>
      <c r="H26" s="667">
        <v>44317</v>
      </c>
      <c r="I26" s="668">
        <f>+AVERAGEIF(TRM_dia[MES],Tabla3[[#This Row],[Fecha]],TRM_dia[TRM])</f>
        <v>3735.6661290322581</v>
      </c>
      <c r="J26">
        <v>244.4</v>
      </c>
      <c r="K26">
        <v>108.84</v>
      </c>
      <c r="L26">
        <v>102.94</v>
      </c>
      <c r="M26">
        <v>234.8</v>
      </c>
      <c r="N26">
        <v>145.30000000000001</v>
      </c>
      <c r="O26" s="668">
        <f>+INDEX(Tabla2[Salarios],MATCH(YEAR(Tabla3[[#This Row],[Fecha]]),Tabla2[año],0))/Tabla3[[#This Row],[TRM año de cálculo $/USD]]</f>
        <v>243.20321158769022</v>
      </c>
      <c r="P26">
        <f>+Tabla3[[#This Row],[IPC]]/Tabla3[[#This Row],[TRM año de cálculo $/USD]]</f>
        <v>2.9135366020569809E-2</v>
      </c>
      <c r="U26" s="693">
        <f t="shared" si="0"/>
        <v>39814</v>
      </c>
      <c r="V26" s="694">
        <v>39837</v>
      </c>
      <c r="W26" s="695">
        <v>2280.77</v>
      </c>
    </row>
    <row r="27" spans="2:23">
      <c r="B27" s="836"/>
      <c r="C27" s="836"/>
      <c r="D27" s="836"/>
      <c r="H27" s="667">
        <v>44348</v>
      </c>
      <c r="I27" s="668">
        <f>+AVERAGEIF(TRM_dia[MES],Tabla3[[#This Row],[Fecha]],TRM_dia[TRM])</f>
        <v>3685.0426666666663</v>
      </c>
      <c r="J27">
        <v>251.9</v>
      </c>
      <c r="K27">
        <v>108.78</v>
      </c>
      <c r="L27">
        <v>103.46</v>
      </c>
      <c r="M27">
        <v>242</v>
      </c>
      <c r="N27">
        <v>145.5</v>
      </c>
      <c r="O27" s="668">
        <f>+INDEX(Tabla2[Salarios],MATCH(YEAR(Tabla3[[#This Row],[Fecha]]),Tabla2[año],0))/Tabla3[[#This Row],[TRM año de cálculo $/USD]]</f>
        <v>246.5442281627133</v>
      </c>
      <c r="P27">
        <f>+Tabla3[[#This Row],[IPC]]/Tabla3[[#This Row],[TRM año de cálculo $/USD]]</f>
        <v>2.9519332566750926E-2</v>
      </c>
      <c r="U27" s="693">
        <f t="shared" si="0"/>
        <v>39814</v>
      </c>
      <c r="V27" s="694">
        <v>39838</v>
      </c>
      <c r="W27" s="695">
        <v>2280.77</v>
      </c>
    </row>
    <row r="28" spans="2:23">
      <c r="B28" s="641" t="s">
        <v>119</v>
      </c>
      <c r="C28" s="641" t="s">
        <v>120</v>
      </c>
      <c r="D28" s="641" t="s">
        <v>121</v>
      </c>
      <c r="H28" s="667">
        <v>44378</v>
      </c>
      <c r="I28" s="668">
        <f>+AVERAGEIF(TRM_dia[MES],Tabla3[[#This Row],[Fecha]],TRM_dia[TRM])</f>
        <v>3829.4180645161291</v>
      </c>
      <c r="J28">
        <v>266.33600000000001</v>
      </c>
      <c r="K28">
        <v>109.14</v>
      </c>
      <c r="L28">
        <v>104.57</v>
      </c>
      <c r="M28">
        <v>244.06700000000001</v>
      </c>
      <c r="N28">
        <v>146.53299999999999</v>
      </c>
      <c r="O28" s="668">
        <f>+INDEX(Tabla2[Salarios],MATCH(YEAR(Tabla3[[#This Row],[Fecha]]),Tabla2[año],0))/Tabla3[[#This Row],[TRM año de cálculo $/USD]]</f>
        <v>237.2491027862736</v>
      </c>
      <c r="P28">
        <f>+Tabla3[[#This Row],[IPC]]/Tabla3[[#This Row],[TRM año de cálculo $/USD]]</f>
        <v>2.850041394312755E-2</v>
      </c>
      <c r="U28" s="693">
        <f t="shared" si="0"/>
        <v>39814</v>
      </c>
      <c r="V28" s="694">
        <v>39839</v>
      </c>
      <c r="W28" s="695">
        <v>2280.77</v>
      </c>
    </row>
    <row r="29" spans="2:23">
      <c r="B29" s="642" t="s">
        <v>122</v>
      </c>
      <c r="C29" s="707">
        <v>5.1000000000000004E-3</v>
      </c>
      <c r="D29" s="643">
        <v>5.1000000000000004E-3</v>
      </c>
      <c r="H29" s="667">
        <v>44409</v>
      </c>
      <c r="I29" s="668">
        <f>+AVERAGEIF(TRM_dia[MES],Tabla3[[#This Row],[Fecha]],TRM_dia[TRM])</f>
        <v>3881.1835483870973</v>
      </c>
      <c r="J29">
        <v>281.95400000000001</v>
      </c>
      <c r="K29">
        <v>109.62</v>
      </c>
      <c r="L29">
        <v>104.82</v>
      </c>
      <c r="M29">
        <v>251.672</v>
      </c>
      <c r="N29">
        <v>146.72800000000001</v>
      </c>
      <c r="O29" s="668">
        <f>+INDEX(Tabla2[Salarios],MATCH(YEAR(Tabla3[[#This Row],[Fecha]]),Tabla2[año],0))/Tabla3[[#This Row],[TRM año de cálculo $/USD]]</f>
        <v>234.08478075651846</v>
      </c>
      <c r="P29">
        <f>+Tabla3[[#This Row],[IPC]]/Tabla3[[#This Row],[TRM año de cálculo $/USD]]</f>
        <v>2.8243961831064333E-2</v>
      </c>
      <c r="U29" s="693">
        <f t="shared" si="0"/>
        <v>39814</v>
      </c>
      <c r="V29" s="694">
        <v>39840</v>
      </c>
      <c r="W29" s="695">
        <v>2280.4299999999998</v>
      </c>
    </row>
    <row r="30" spans="2:23">
      <c r="B30" s="642" t="s">
        <v>123</v>
      </c>
      <c r="C30" s="707">
        <v>1.6199999999999999E-2</v>
      </c>
      <c r="D30" s="643">
        <v>1.6199999999999999E-2</v>
      </c>
      <c r="H30" s="667">
        <v>44440</v>
      </c>
      <c r="I30" s="668">
        <f>+AVERAGEIF(TRM_dia[MES],Tabla3[[#This Row],[Fecha]],TRM_dia[TRM])</f>
        <v>3821.5376666666662</v>
      </c>
      <c r="J30">
        <v>288.41199999999998</v>
      </c>
      <c r="K30">
        <v>110.04</v>
      </c>
      <c r="L30">
        <v>104.81</v>
      </c>
      <c r="M30">
        <v>261.63900000000001</v>
      </c>
      <c r="N30">
        <v>146.982</v>
      </c>
      <c r="O30" s="668">
        <f>+INDEX(Tabla2[Salarios],MATCH(YEAR(Tabla3[[#This Row],[Fecha]]),Tabla2[año],0))/Tabla3[[#This Row],[TRM año de cálculo $/USD]]</f>
        <v>237.73833447321775</v>
      </c>
      <c r="P30">
        <f>+Tabla3[[#This Row],[IPC]]/Tabla3[[#This Row],[TRM año de cálculo $/USD]]</f>
        <v>2.8794691979572278E-2</v>
      </c>
      <c r="U30" s="693">
        <f t="shared" si="0"/>
        <v>39814</v>
      </c>
      <c r="V30" s="694">
        <v>39841</v>
      </c>
      <c r="W30" s="695">
        <v>2310.83</v>
      </c>
    </row>
    <row r="31" spans="2:23">
      <c r="B31" s="642" t="s">
        <v>124</v>
      </c>
      <c r="C31" s="707">
        <v>1.89E-2</v>
      </c>
      <c r="D31" s="643">
        <v>1.89E-2</v>
      </c>
      <c r="H31" s="667">
        <v>44470</v>
      </c>
      <c r="I31" s="668">
        <f>+AVERAGEIF(TRM_dia[MES],Tabla3[[#This Row],[Fecha]],TRM_dia[TRM])</f>
        <v>3773.3841935483888</v>
      </c>
      <c r="J31">
        <v>290.70400000000001</v>
      </c>
      <c r="K31">
        <v>110.06</v>
      </c>
      <c r="L31">
        <v>104.94</v>
      </c>
      <c r="M31">
        <v>270.279</v>
      </c>
      <c r="N31">
        <v>148.06700000000001</v>
      </c>
      <c r="O31" s="668">
        <f>+INDEX(Tabla2[Salarios],MATCH(YEAR(Tabla3[[#This Row],[Fecha]]),Tabla2[año],0))/Tabla3[[#This Row],[TRM año de cálculo $/USD]]</f>
        <v>240.77219636245061</v>
      </c>
      <c r="P31">
        <f>+Tabla3[[#This Row],[IPC]]/Tabla3[[#This Row],[TRM año de cálculo $/USD]]</f>
        <v>2.9167451379103419E-2</v>
      </c>
      <c r="U31" s="693">
        <f t="shared" si="0"/>
        <v>39814</v>
      </c>
      <c r="V31" s="694">
        <v>39842</v>
      </c>
      <c r="W31" s="695">
        <v>2341.09</v>
      </c>
    </row>
    <row r="32" spans="2:23">
      <c r="B32" s="642" t="s">
        <v>125</v>
      </c>
      <c r="C32" s="707">
        <v>8.2000000000000007E-3</v>
      </c>
      <c r="D32" s="643">
        <v>8.2000000000000007E-3</v>
      </c>
      <c r="H32" s="667">
        <v>44501</v>
      </c>
      <c r="I32" s="668">
        <f>+AVERAGEIF(TRM_dia[MES],Tabla3[[#This Row],[Fecha]],TRM_dia[TRM])</f>
        <v>3902.9009999999994</v>
      </c>
      <c r="J32">
        <v>295.875</v>
      </c>
      <c r="K32">
        <v>110.6</v>
      </c>
      <c r="L32">
        <v>105.15</v>
      </c>
      <c r="M32">
        <v>275.04599999999999</v>
      </c>
      <c r="N32">
        <v>148.215</v>
      </c>
      <c r="O32" s="668">
        <f>+INDEX(Tabla2[Salarios],MATCH(YEAR(Tabla3[[#This Row],[Fecha]]),Tabla2[año],0))/Tabla3[[#This Row],[TRM año de cálculo $/USD]]</f>
        <v>232.78223044858174</v>
      </c>
      <c r="P32">
        <f>+Tabla3[[#This Row],[IPC]]/Tabla3[[#This Row],[TRM año de cálculo $/USD]]</f>
        <v>2.8337895324529117E-2</v>
      </c>
      <c r="U32" s="693">
        <f t="shared" si="0"/>
        <v>39814</v>
      </c>
      <c r="V32" s="694">
        <v>39843</v>
      </c>
      <c r="W32" s="695">
        <v>2386.58</v>
      </c>
    </row>
    <row r="33" spans="2:23">
      <c r="B33" s="642"/>
      <c r="C33" s="642"/>
      <c r="D33" s="642"/>
      <c r="H33" s="667">
        <v>44531</v>
      </c>
      <c r="I33" s="668">
        <f>+AVERAGEIF(TRM_dia[MES],Tabla3[[#This Row],[Fecha]],TRM_dia[TRM])</f>
        <v>3963.1335483870962</v>
      </c>
      <c r="J33">
        <v>298.13799999999998</v>
      </c>
      <c r="K33">
        <v>111.41</v>
      </c>
      <c r="L33">
        <v>105.56</v>
      </c>
      <c r="M33">
        <v>255.94900000000001</v>
      </c>
      <c r="N33">
        <v>148.32400000000001</v>
      </c>
      <c r="O33" s="668">
        <f>+INDEX(Tabla2[Salarios],MATCH(YEAR(Tabla3[[#This Row],[Fecha]]),Tabla2[año],0))/Tabla3[[#This Row],[TRM año de cálculo $/USD]]</f>
        <v>229.24435649405484</v>
      </c>
      <c r="P33">
        <f>+Tabla3[[#This Row],[IPC]]/Tabla3[[#This Row],[TRM año de cálculo $/USD]]</f>
        <v>2.811159367701381E-2</v>
      </c>
      <c r="U33" s="693">
        <f t="shared" si="0"/>
        <v>39814</v>
      </c>
      <c r="V33" s="694">
        <v>39844</v>
      </c>
      <c r="W33" s="695">
        <v>2420.2600000000002</v>
      </c>
    </row>
    <row r="34" spans="2:23">
      <c r="B34" s="644" t="s">
        <v>126</v>
      </c>
      <c r="C34" s="644">
        <f>SUM(C29:C33)</f>
        <v>4.8399999999999999E-2</v>
      </c>
      <c r="D34" s="644">
        <f>SUM(D29:D33)</f>
        <v>4.8399999999999999E-2</v>
      </c>
      <c r="H34" s="667">
        <v>44562</v>
      </c>
      <c r="I34" s="668">
        <f>+AVERAGEIF(TRM_dia[MES],Tabla3[[#This Row],[Fecha]],TRM_dia[TRM])</f>
        <v>3999.6161290322589</v>
      </c>
      <c r="J34">
        <v>315.02699999999999</v>
      </c>
      <c r="K34">
        <v>113.26</v>
      </c>
      <c r="L34">
        <v>107.48</v>
      </c>
      <c r="M34">
        <v>270.75</v>
      </c>
      <c r="N34">
        <v>151.29400000000001</v>
      </c>
      <c r="O34" s="668">
        <f>+INDEX(Tabla2[Salarios],MATCH(YEAR(Tabla3[[#This Row],[Fecha]]),Tabla2[año],0))/Tabla3[[#This Row],[TRM año de cálculo $/USD]]</f>
        <v>250.02399423815669</v>
      </c>
      <c r="P34">
        <f>+Tabla3[[#This Row],[IPC]]/Tabla3[[#This Row],[TRM año de cálculo $/USD]]</f>
        <v>2.8317717587413627E-2</v>
      </c>
      <c r="U34" s="693">
        <f t="shared" si="0"/>
        <v>39845</v>
      </c>
      <c r="V34" s="694">
        <v>39845</v>
      </c>
      <c r="W34" s="695">
        <v>2420.2600000000002</v>
      </c>
    </row>
    <row r="35" spans="2:23">
      <c r="H35" s="667">
        <v>44593</v>
      </c>
      <c r="I35" s="668">
        <f>+AVERAGEIF(TRM_dia[MES],Tabla3[[#This Row],[Fecha]],TRM_dia[TRM])</f>
        <v>3935.835714285713</v>
      </c>
      <c r="J35">
        <v>314.30500000000001</v>
      </c>
      <c r="K35">
        <v>115.11</v>
      </c>
      <c r="L35">
        <v>108.95</v>
      </c>
      <c r="M35">
        <v>289.06400000000002</v>
      </c>
      <c r="N35">
        <v>151.309</v>
      </c>
      <c r="O35" s="668">
        <f>+INDEX(Tabla2[Salarios],MATCH(YEAR(Tabla3[[#This Row],[Fecha]]),Tabla2[año],0))/Tabla3[[#This Row],[TRM año de cálculo $/USD]]</f>
        <v>254.07564557899312</v>
      </c>
      <c r="P35">
        <f>+Tabla3[[#This Row],[IPC]]/Tabla3[[#This Row],[TRM año de cálculo $/USD]]</f>
        <v>2.9246647562597896E-2</v>
      </c>
      <c r="U35" s="693">
        <f t="shared" si="0"/>
        <v>39845</v>
      </c>
      <c r="V35" s="694">
        <v>39846</v>
      </c>
      <c r="W35" s="695">
        <v>2420.2600000000002</v>
      </c>
    </row>
    <row r="36" spans="2:23">
      <c r="C36" s="721"/>
      <c r="H36" s="667">
        <v>44621</v>
      </c>
      <c r="I36" s="668">
        <f>+AVERAGEIF(TRM_dia[MES],Tabla3[[#This Row],[Fecha]],TRM_dia[TRM])</f>
        <v>3807.1709677419353</v>
      </c>
      <c r="J36">
        <v>318.78699999999998</v>
      </c>
      <c r="K36">
        <v>116.26</v>
      </c>
      <c r="L36">
        <v>110.11</v>
      </c>
      <c r="M36">
        <v>305.86500000000001</v>
      </c>
      <c r="N36">
        <v>152.43299999999999</v>
      </c>
      <c r="O36" s="668">
        <f>+INDEX(Tabla2[Salarios],MATCH(YEAR(Tabla3[[#This Row],[Fecha]]),Tabla2[año],0))/Tabla3[[#This Row],[TRM año de cálculo $/USD]]</f>
        <v>262.66222569802488</v>
      </c>
      <c r="P36">
        <f>+Tabla3[[#This Row],[IPC]]/Tabla3[[#This Row],[TRM año de cálculo $/USD]]</f>
        <v>3.0537110359652373E-2</v>
      </c>
      <c r="U36" s="693">
        <f t="shared" si="0"/>
        <v>39845</v>
      </c>
      <c r="V36" s="694">
        <v>39847</v>
      </c>
      <c r="W36" s="695">
        <v>2450.7800000000002</v>
      </c>
    </row>
    <row r="37" spans="2:23">
      <c r="H37" s="667">
        <v>44652</v>
      </c>
      <c r="I37" s="668">
        <f>+AVERAGEIF(TRM_dia[MES],Tabla3[[#This Row],[Fecha]],TRM_dia[TRM])</f>
        <v>3792.9820000000018</v>
      </c>
      <c r="J37">
        <v>323.17</v>
      </c>
      <c r="K37">
        <v>117.71</v>
      </c>
      <c r="L37">
        <v>111.37</v>
      </c>
      <c r="M37">
        <v>327.86500000000001</v>
      </c>
      <c r="N37">
        <v>157.84899999999999</v>
      </c>
      <c r="O37" s="668">
        <f>+INDEX(Tabla2[Salarios],MATCH(YEAR(Tabla3[[#This Row],[Fecha]]),Tabla2[año],0))/Tabla3[[#This Row],[TRM año de cálculo $/USD]]</f>
        <v>263.64480506366743</v>
      </c>
      <c r="P37">
        <f>+Tabla3[[#This Row],[IPC]]/Tabla3[[#This Row],[TRM año de cálculo $/USD]]</f>
        <v>3.1033630004044296E-2</v>
      </c>
      <c r="U37" s="693">
        <f t="shared" si="0"/>
        <v>39845</v>
      </c>
      <c r="V37" s="694">
        <v>39848</v>
      </c>
      <c r="W37" s="695">
        <v>2443.67</v>
      </c>
    </row>
    <row r="38" spans="2:23">
      <c r="H38" s="667">
        <v>44682</v>
      </c>
      <c r="I38" s="668">
        <f>+AVERAGEIF(TRM_dia[MES],Tabla3[[#This Row],[Fecha]],TRM_dia[TRM])</f>
        <v>4019.0793548387101</v>
      </c>
      <c r="J38">
        <v>337.54599999999999</v>
      </c>
      <c r="K38">
        <v>118.7</v>
      </c>
      <c r="L38">
        <v>112.37</v>
      </c>
      <c r="M38">
        <v>314.34399999999999</v>
      </c>
      <c r="N38">
        <v>158.75</v>
      </c>
      <c r="O38" s="668">
        <f>+INDEX(Tabla2[Salarios],MATCH(YEAR(Tabla3[[#This Row],[Fecha]]),Tabla2[año],0))/Tabla3[[#This Row],[TRM año de cálculo $/USD]]</f>
        <v>248.81320116162053</v>
      </c>
      <c r="P38">
        <f>+Tabla3[[#This Row],[IPC]]/Tabla3[[#This Row],[TRM año de cálculo $/USD]]</f>
        <v>2.9534126977884358E-2</v>
      </c>
      <c r="U38" s="693">
        <f t="shared" si="0"/>
        <v>39845</v>
      </c>
      <c r="V38" s="694">
        <v>39849</v>
      </c>
      <c r="W38" s="695">
        <v>2469.02</v>
      </c>
    </row>
    <row r="39" spans="2:23">
      <c r="H39" s="667">
        <v>44713</v>
      </c>
      <c r="I39" s="668">
        <f>+AVERAGEIF(TRM_dia[MES],Tabla3[[#This Row],[Fecha]],TRM_dia[TRM])</f>
        <v>3930.7666666666669</v>
      </c>
      <c r="J39">
        <v>340.51600000000002</v>
      </c>
      <c r="K39">
        <v>119.31</v>
      </c>
      <c r="L39">
        <v>112.63</v>
      </c>
      <c r="M39">
        <v>292.53399999999999</v>
      </c>
      <c r="N39">
        <v>161.41499999999999</v>
      </c>
      <c r="O39" s="668">
        <f>+INDEX(Tabla2[Salarios],MATCH(YEAR(Tabla3[[#This Row],[Fecha]]),Tabla2[año],0))/Tabla3[[#This Row],[TRM año de cálculo $/USD]]</f>
        <v>254.40329706672998</v>
      </c>
      <c r="P39">
        <f>+Tabla3[[#This Row],[IPC]]/Tabla3[[#This Row],[TRM año de cálculo $/USD]]</f>
        <v>3.0352857373031554E-2</v>
      </c>
      <c r="U39" s="693">
        <f t="shared" si="0"/>
        <v>39845</v>
      </c>
      <c r="V39" s="694">
        <v>39850</v>
      </c>
      <c r="W39" s="695">
        <v>2472.65</v>
      </c>
    </row>
    <row r="40" spans="2:23">
      <c r="H40" s="667">
        <v>44743</v>
      </c>
      <c r="I40" s="668">
        <f>+AVERAGEIF(TRM_dia[MES],Tabla3[[#This Row],[Fecha]],TRM_dia[TRM])</f>
        <v>4367.8058064516135</v>
      </c>
      <c r="J40">
        <v>339.63499999999999</v>
      </c>
      <c r="K40">
        <v>120.27</v>
      </c>
      <c r="L40">
        <v>113.88</v>
      </c>
      <c r="M40">
        <v>276.15899999999999</v>
      </c>
      <c r="N40">
        <v>163.68199999999999</v>
      </c>
      <c r="O40" s="668">
        <f>+INDEX(Tabla2[Salarios],MATCH(YEAR(Tabla3[[#This Row],[Fecha]]),Tabla2[año],0))/Tabla3[[#This Row],[TRM año de cálculo $/USD]]</f>
        <v>228.9479075564478</v>
      </c>
      <c r="P40">
        <f>+Tabla3[[#This Row],[IPC]]/Tabla3[[#This Row],[TRM año de cálculo $/USD]]</f>
        <v>2.7535564841813978E-2</v>
      </c>
      <c r="U40" s="693">
        <f t="shared" si="0"/>
        <v>39845</v>
      </c>
      <c r="V40" s="694">
        <v>39851</v>
      </c>
      <c r="W40" s="695">
        <v>2449.4899999999998</v>
      </c>
    </row>
    <row r="41" spans="2:23">
      <c r="H41" s="667">
        <v>44774</v>
      </c>
      <c r="I41" s="668">
        <f>+AVERAGEIF(TRM_dia[MES],Tabla3[[#This Row],[Fecha]],TRM_dia[TRM])</f>
        <v>4322.4693548387104</v>
      </c>
      <c r="J41">
        <v>331.56299999999999</v>
      </c>
      <c r="K41">
        <v>121.5</v>
      </c>
      <c r="L41">
        <v>114.11</v>
      </c>
      <c r="M41">
        <v>265.41199999999998</v>
      </c>
      <c r="N41">
        <v>163.68199999999999</v>
      </c>
      <c r="O41" s="668">
        <f>+INDEX(Tabla2[Salarios],MATCH(YEAR(Tabla3[[#This Row],[Fecha]]),Tabla2[año],0))/Tabla3[[#This Row],[TRM año de cálculo $/USD]]</f>
        <v>231.34923996177508</v>
      </c>
      <c r="P41">
        <f>+Tabla3[[#This Row],[IPC]]/Tabla3[[#This Row],[TRM año de cálculo $/USD]]</f>
        <v>2.8108932655355676E-2</v>
      </c>
      <c r="U41" s="693">
        <f t="shared" si="0"/>
        <v>39845</v>
      </c>
      <c r="V41" s="694">
        <v>39852</v>
      </c>
      <c r="W41" s="695">
        <v>2449.4899999999998</v>
      </c>
    </row>
    <row r="42" spans="2:23">
      <c r="H42" s="667">
        <v>44805</v>
      </c>
      <c r="I42" s="668">
        <f>+AVERAGEIF(TRM_dia[MES],Tabla3[[#This Row],[Fecha]],TRM_dia[TRM])</f>
        <v>4433.6509999999998</v>
      </c>
      <c r="J42">
        <v>323.41399999999999</v>
      </c>
      <c r="K42">
        <v>122.63</v>
      </c>
      <c r="L42">
        <v>114.26</v>
      </c>
      <c r="M42">
        <v>264.45800000000003</v>
      </c>
      <c r="N42">
        <v>163.738</v>
      </c>
      <c r="O42" s="668">
        <f>+INDEX(Tabla2[Salarios],MATCH(YEAR(Tabla3[[#This Row],[Fecha]]),Tabla2[año],0))/Tabla3[[#This Row],[TRM año de cálculo $/USD]]</f>
        <v>225.5477483455509</v>
      </c>
      <c r="P42">
        <f>+Tabla3[[#This Row],[IPC]]/Tabla3[[#This Row],[TRM año de cálculo $/USD]]</f>
        <v>2.7658920379614906E-2</v>
      </c>
      <c r="U42" s="693">
        <f t="shared" si="0"/>
        <v>39845</v>
      </c>
      <c r="V42" s="694">
        <v>39853</v>
      </c>
      <c r="W42" s="695">
        <v>2449.4899999999998</v>
      </c>
    </row>
    <row r="43" spans="2:23">
      <c r="H43" s="667">
        <v>44835</v>
      </c>
      <c r="I43" s="668">
        <f>+AVERAGEIF(TRM_dia[MES],Tabla3[[#This Row],[Fecha]],TRM_dia[TRM])</f>
        <v>4711.8303225806467</v>
      </c>
      <c r="J43">
        <v>319.09300000000002</v>
      </c>
      <c r="K43">
        <v>123.51</v>
      </c>
      <c r="L43">
        <v>115.49</v>
      </c>
      <c r="M43">
        <v>252.54400000000001</v>
      </c>
      <c r="N43">
        <v>164.53</v>
      </c>
      <c r="O43" s="668">
        <f>+INDEX(Tabla2[Salarios],MATCH(YEAR(Tabla3[[#This Row],[Fecha]]),Tabla2[año],0))/Tabla3[[#This Row],[TRM año de cálculo $/USD]]</f>
        <v>212.23175104750055</v>
      </c>
      <c r="P43">
        <f>+Tabla3[[#This Row],[IPC]]/Tabla3[[#This Row],[TRM año de cálculo $/USD]]</f>
        <v>2.6212743571876793E-2</v>
      </c>
      <c r="U43" s="693">
        <f t="shared" si="0"/>
        <v>39845</v>
      </c>
      <c r="V43" s="694">
        <v>39854</v>
      </c>
      <c r="W43" s="695">
        <v>2450.6</v>
      </c>
    </row>
    <row r="44" spans="2:23">
      <c r="H44" s="667">
        <v>44866</v>
      </c>
      <c r="I44" s="668">
        <f>+AVERAGEIF(TRM_dia[MES],Tabla3[[#This Row],[Fecha]],TRM_dia[TRM])</f>
        <v>4926.6606666666667</v>
      </c>
      <c r="J44">
        <v>309.16500000000002</v>
      </c>
      <c r="K44">
        <v>124.46</v>
      </c>
      <c r="L44">
        <v>115.91</v>
      </c>
      <c r="M44">
        <v>249.89400000000001</v>
      </c>
      <c r="N44">
        <v>165.88200000000001</v>
      </c>
      <c r="O44" s="668">
        <f>+INDEX(Tabla2[Salarios],MATCH(YEAR(Tabla3[[#This Row],[Fecha]]),Tabla2[año],0))/Tabla3[[#This Row],[TRM año de cálculo $/USD]]</f>
        <v>202.97724313872641</v>
      </c>
      <c r="P44">
        <f>+Tabla3[[#This Row],[IPC]]/Tabla3[[#This Row],[TRM año de cálculo $/USD]]</f>
        <v>2.526254768104589E-2</v>
      </c>
      <c r="U44" s="693">
        <f t="shared" si="0"/>
        <v>39845</v>
      </c>
      <c r="V44" s="694">
        <v>39855</v>
      </c>
      <c r="W44" s="695">
        <v>2494.0700000000002</v>
      </c>
    </row>
    <row r="45" spans="2:23">
      <c r="H45" s="667">
        <v>44896</v>
      </c>
      <c r="I45" s="668">
        <f>+AVERAGEIF(TRM_dia[MES],Tabla3[[#This Row],[Fecha]],TRM_dia[TRM])</f>
        <v>4788.4906451612896</v>
      </c>
      <c r="J45">
        <v>300.83999999999997</v>
      </c>
      <c r="K45">
        <v>126.03</v>
      </c>
      <c r="L45">
        <v>115.83</v>
      </c>
      <c r="M45">
        <v>253.19499999999999</v>
      </c>
      <c r="N45">
        <v>167.04400000000001</v>
      </c>
      <c r="O45" s="668">
        <f>+INDEX(Tabla2[Salarios],MATCH(YEAR(Tabla3[[#This Row],[Fecha]]),Tabla2[año],0))/Tabla3[[#This Row],[TRM año de cálculo $/USD]]</f>
        <v>208.83407196597275</v>
      </c>
      <c r="P45">
        <f>+Tabla3[[#This Row],[IPC]]/Tabla3[[#This Row],[TRM año de cálculo $/USD]]</f>
        <v>2.6319358089871545E-2</v>
      </c>
      <c r="U45" s="693">
        <f t="shared" si="0"/>
        <v>39845</v>
      </c>
      <c r="V45" s="694">
        <v>39856</v>
      </c>
      <c r="W45" s="695">
        <v>2537.8200000000002</v>
      </c>
    </row>
    <row r="46" spans="2:23">
      <c r="H46" s="667">
        <v>44927</v>
      </c>
      <c r="I46" s="668">
        <f>+AVERAGEIF(TRM_dia[MES],Tabla3[[#This Row],[Fecha]],TRM_dia[TRM])</f>
        <v>4715.2038709677445</v>
      </c>
      <c r="J46">
        <v>293.98099999999999</v>
      </c>
      <c r="K46">
        <v>128.27000000000001</v>
      </c>
      <c r="L46">
        <v>121.59</v>
      </c>
      <c r="M46">
        <v>265.61</v>
      </c>
      <c r="N46">
        <v>170.88900000000001</v>
      </c>
      <c r="O46" s="668">
        <f>+INDEX(Tabla2[Salarios],MATCH(YEAR(Tabla3[[#This Row],[Fecha]]),Tabla2[año],0))/Tabla3[[#This Row],[TRM año de cálculo $/USD]]</f>
        <v>246.0126925035635</v>
      </c>
      <c r="P46">
        <f>+Tabla3[[#This Row],[IPC]]/Tabla3[[#This Row],[TRM año de cálculo $/USD]]</f>
        <v>2.7203489713303528E-2</v>
      </c>
      <c r="U46" s="693">
        <f t="shared" si="0"/>
        <v>39845</v>
      </c>
      <c r="V46" s="694">
        <v>39857</v>
      </c>
      <c r="W46" s="695">
        <v>2520.06</v>
      </c>
    </row>
    <row r="47" spans="2:23">
      <c r="H47" s="667">
        <v>44958</v>
      </c>
      <c r="I47" s="668">
        <f>+AVERAGEIF(TRM_dia[MES],Tabla3[[#This Row],[Fecha]],TRM_dia[TRM])</f>
        <v>4803.1125000000002</v>
      </c>
      <c r="J47">
        <v>295.91199999999998</v>
      </c>
      <c r="K47">
        <v>130.4</v>
      </c>
      <c r="L47">
        <v>124.48</v>
      </c>
      <c r="M47">
        <v>274.84500000000003</v>
      </c>
      <c r="N47">
        <v>170.858</v>
      </c>
      <c r="O47" s="668">
        <f>+INDEX(Tabla2[Salarios],MATCH(YEAR(Tabla3[[#This Row],[Fecha]]),Tabla2[año],0))/Tabla3[[#This Row],[TRM año de cálculo $/USD]]</f>
        <v>241.51006248552369</v>
      </c>
      <c r="P47">
        <f>+Tabla3[[#This Row],[IPC]]/Tabla3[[#This Row],[TRM año de cálculo $/USD]]</f>
        <v>2.7149062196648529E-2</v>
      </c>
      <c r="U47" s="693">
        <f t="shared" si="0"/>
        <v>39845</v>
      </c>
      <c r="V47" s="694">
        <v>39858</v>
      </c>
      <c r="W47" s="695">
        <v>2509.5</v>
      </c>
    </row>
    <row r="48" spans="2:23">
      <c r="H48" s="667">
        <v>44986</v>
      </c>
      <c r="I48" s="668">
        <f>+AVERAGEIF(TRM_dia[MES],Tabla3[[#This Row],[Fecha]],TRM_dia[TRM])</f>
        <v>4766.3058064516117</v>
      </c>
      <c r="J48">
        <v>294.08800000000002</v>
      </c>
      <c r="K48">
        <v>131.77000000000001</v>
      </c>
      <c r="L48">
        <v>125.08</v>
      </c>
      <c r="M48">
        <v>273.72899999999998</v>
      </c>
      <c r="N48">
        <v>171.041</v>
      </c>
      <c r="O48" s="668">
        <f>+INDEX(Tabla2[Salarios],MATCH(YEAR(Tabla3[[#This Row],[Fecha]]),Tabla2[año],0))/Tabla3[[#This Row],[TRM año de cálculo $/USD]]</f>
        <v>243.37506805162155</v>
      </c>
      <c r="P48">
        <f>+Tabla3[[#This Row],[IPC]]/Tabla3[[#This Row],[TRM año de cálculo $/USD]]</f>
        <v>2.7646148894105323E-2</v>
      </c>
      <c r="U48" s="693">
        <f t="shared" si="0"/>
        <v>39845</v>
      </c>
      <c r="V48" s="694">
        <v>39859</v>
      </c>
      <c r="W48" s="695">
        <v>2509.5</v>
      </c>
    </row>
    <row r="49" spans="8:23">
      <c r="H49" s="667">
        <v>45017</v>
      </c>
      <c r="I49" s="668">
        <f>+AVERAGEIF(TRM_dia[MES],Tabla3[[#This Row],[Fecha]],TRM_dia[TRM])</f>
        <v>4542.6743333333325</v>
      </c>
      <c r="J49">
        <v>298.19600000000003</v>
      </c>
      <c r="K49">
        <v>132.80000000000001</v>
      </c>
      <c r="L49">
        <v>125.67</v>
      </c>
      <c r="M49">
        <v>268.29599999999999</v>
      </c>
      <c r="N49">
        <v>171.35499999999999</v>
      </c>
      <c r="O49" s="668">
        <f>+INDEX(Tabla2[Salarios],MATCH(YEAR(Tabla3[[#This Row],[Fecha]]),Tabla2[año],0))/Tabla3[[#This Row],[TRM año de cálculo $/USD]]</f>
        <v>255.35618776105682</v>
      </c>
      <c r="P49">
        <f>+Tabla3[[#This Row],[IPC]]/Tabla3[[#This Row],[TRM año de cálculo $/USD]]</f>
        <v>2.9233880805748576E-2</v>
      </c>
      <c r="U49" s="693">
        <f t="shared" si="0"/>
        <v>39845</v>
      </c>
      <c r="V49" s="694">
        <v>39860</v>
      </c>
      <c r="W49" s="695">
        <v>2509.5</v>
      </c>
    </row>
    <row r="50" spans="8:23">
      <c r="H50" s="667">
        <v>45047</v>
      </c>
      <c r="I50" s="668">
        <f>+AVERAGEIF(TRM_dia[MES],Tabla3[[#This Row],[Fecha]],TRM_dia[TRM])</f>
        <v>4540.0890322580644</v>
      </c>
      <c r="J50">
        <v>305.322</v>
      </c>
      <c r="K50">
        <v>133.38</v>
      </c>
      <c r="L50">
        <v>125.95</v>
      </c>
      <c r="M50">
        <v>268.48</v>
      </c>
      <c r="N50">
        <v>171.74799999999999</v>
      </c>
      <c r="O50" s="668">
        <f>+INDEX(Tabla2[Salarios],MATCH(YEAR(Tabla3[[#This Row],[Fecha]]),Tabla2[año],0))/Tabla3[[#This Row],[TRM año de cálculo $/USD]]</f>
        <v>255.50159738234493</v>
      </c>
      <c r="P50">
        <f>+Tabla3[[#This Row],[IPC]]/Tabla3[[#This Row],[TRM año de cálculo $/USD]]</f>
        <v>2.9378278499014799E-2</v>
      </c>
      <c r="U50" s="693">
        <f t="shared" si="0"/>
        <v>39845</v>
      </c>
      <c r="V50" s="694">
        <v>39861</v>
      </c>
      <c r="W50" s="695">
        <v>2509.5</v>
      </c>
    </row>
    <row r="51" spans="8:23">
      <c r="H51" s="667">
        <v>45078</v>
      </c>
      <c r="I51" s="668">
        <f>+AVERAGEIF(TRM_dia[MES],Tabla3[[#This Row],[Fecha]],TRM_dia[TRM])</f>
        <v>4209.2680000000009</v>
      </c>
      <c r="J51">
        <v>303.45400000000001</v>
      </c>
      <c r="K51">
        <v>133.78</v>
      </c>
      <c r="L51">
        <v>126.12</v>
      </c>
      <c r="M51">
        <v>266.26600000000002</v>
      </c>
      <c r="N51">
        <v>172.78</v>
      </c>
      <c r="O51" s="668">
        <f>+INDEX(Tabla2[Salarios],MATCH(YEAR(Tabla3[[#This Row],[Fecha]]),Tabla2[año],0))/Tabla3[[#This Row],[TRM año de cálculo $/USD]]</f>
        <v>275.58235778762474</v>
      </c>
      <c r="P51">
        <f>+Tabla3[[#This Row],[IPC]]/Tabla3[[#This Row],[TRM año de cálculo $/USD]]</f>
        <v>3.1782248124852107E-2</v>
      </c>
      <c r="U51" s="693">
        <f t="shared" si="0"/>
        <v>39845</v>
      </c>
      <c r="V51" s="694">
        <v>39862</v>
      </c>
      <c r="W51" s="695">
        <v>2554.4</v>
      </c>
    </row>
    <row r="52" spans="8:23">
      <c r="H52" s="667">
        <v>45108</v>
      </c>
      <c r="I52" s="668">
        <f>+AVERAGEIF(TRM_dia[MES],Tabla3[[#This Row],[Fecha]],TRM_dia[TRM])</f>
        <v>4069.2335483870975</v>
      </c>
      <c r="J52">
        <v>296.88200000000001</v>
      </c>
      <c r="K52">
        <v>134.44999999999999</v>
      </c>
      <c r="L52">
        <v>126.33</v>
      </c>
      <c r="M52">
        <v>262.80200000000002</v>
      </c>
      <c r="N52">
        <v>172.321</v>
      </c>
      <c r="O52" s="668">
        <f>+INDEX(Tabla2[Salarios],MATCH(YEAR(Tabla3[[#This Row],[Fecha]]),Tabla2[año],0))/Tabla3[[#This Row],[TRM año de cálculo $/USD]]</f>
        <v>285.06596787981942</v>
      </c>
      <c r="P52">
        <f>+Tabla3[[#This Row],[IPC]]/Tabla3[[#This Row],[TRM año de cálculo $/USD]]</f>
        <v>3.3040620156415276E-2</v>
      </c>
      <c r="U52" s="693">
        <f t="shared" si="0"/>
        <v>39845</v>
      </c>
      <c r="V52" s="694">
        <v>39863</v>
      </c>
      <c r="W52" s="695">
        <v>2558.14</v>
      </c>
    </row>
    <row r="53" spans="8:23">
      <c r="H53" s="667">
        <v>45139</v>
      </c>
      <c r="I53" s="668">
        <f>+AVERAGEIF(TRM_dia[MES],Tabla3[[#This Row],[Fecha]],TRM_dia[TRM])</f>
        <v>4070.7251612903228</v>
      </c>
      <c r="J53">
        <v>297.57600000000002</v>
      </c>
      <c r="K53">
        <v>135.38999999999999</v>
      </c>
      <c r="L53">
        <v>126.22</v>
      </c>
      <c r="M53">
        <v>259.50099999999998</v>
      </c>
      <c r="N53">
        <v>173.102</v>
      </c>
      <c r="O53" s="668">
        <f>+INDEX(Tabla2[Salarios],MATCH(YEAR(Tabla3[[#This Row],[Fecha]]),Tabla2[año],0))/Tabla3[[#This Row],[TRM año de cálculo $/USD]]</f>
        <v>284.96151276209167</v>
      </c>
      <c r="P53">
        <f>+Tabla3[[#This Row],[IPC]]/Tabla3[[#This Row],[TRM año de cálculo $/USD]]</f>
        <v>3.3259430355913437E-2</v>
      </c>
      <c r="U53" s="693">
        <f t="shared" si="0"/>
        <v>39845</v>
      </c>
      <c r="V53" s="694">
        <v>39864</v>
      </c>
      <c r="W53" s="695">
        <v>2547.4</v>
      </c>
    </row>
    <row r="54" spans="8:23">
      <c r="H54" s="667">
        <v>45170</v>
      </c>
      <c r="I54" s="668">
        <f>+AVERAGEIF(TRM_dia[MES],Tabla3[[#This Row],[Fecha]],TRM_dia[TRM])</f>
        <v>4004.5206666666659</v>
      </c>
      <c r="J54">
        <v>290.07400000000001</v>
      </c>
      <c r="K54">
        <v>136.11000000000001</v>
      </c>
      <c r="L54">
        <v>126.3</v>
      </c>
      <c r="M54">
        <v>257.02</v>
      </c>
      <c r="N54">
        <v>173.38</v>
      </c>
      <c r="O54" s="668">
        <f>+INDEX(Tabla2[Salarios],MATCH(YEAR(Tabla3[[#This Row],[Fecha]]),Tabla2[año],0))/Tabla3[[#This Row],[TRM año de cálculo $/USD]]</f>
        <v>289.67262165875536</v>
      </c>
      <c r="P54">
        <f>+Tabla3[[#This Row],[IPC]]/Tabla3[[#This Row],[TRM año de cálculo $/USD]]</f>
        <v>3.3989086667218275E-2</v>
      </c>
      <c r="U54" s="693">
        <f t="shared" si="0"/>
        <v>39845</v>
      </c>
      <c r="V54" s="694">
        <v>39865</v>
      </c>
      <c r="W54" s="695">
        <v>2588.31</v>
      </c>
    </row>
    <row r="55" spans="8:23">
      <c r="H55" s="667">
        <v>45200</v>
      </c>
      <c r="I55" s="668">
        <f>+AVERAGEIF(TRM_dia[MES],Tabla3[[#This Row],[Fecha]],TRM_dia[TRM])</f>
        <v>4222.4332258064514</v>
      </c>
      <c r="J55">
        <v>286.39999999999998</v>
      </c>
      <c r="K55">
        <v>136.44999999999999</v>
      </c>
      <c r="L55">
        <v>126.2</v>
      </c>
      <c r="M55">
        <v>256.13200000000001</v>
      </c>
      <c r="N55">
        <v>174.614</v>
      </c>
      <c r="O55" s="668">
        <f>+INDEX(Tabla2[Salarios],MATCH(YEAR(Tabla3[[#This Row],[Fecha]]),Tabla2[año],0))/Tabla3[[#This Row],[TRM año de cálculo $/USD]]</f>
        <v>274.72311294596</v>
      </c>
      <c r="P55">
        <f>+Tabla3[[#This Row],[IPC]]/Tabla3[[#This Row],[TRM año de cálculo $/USD]]</f>
        <v>3.2315490311617449E-2</v>
      </c>
      <c r="U55" s="693">
        <f t="shared" si="0"/>
        <v>39845</v>
      </c>
      <c r="V55" s="694">
        <v>39866</v>
      </c>
      <c r="W55" s="695">
        <v>2588.31</v>
      </c>
    </row>
    <row r="56" spans="8:23">
      <c r="H56" s="667">
        <v>45231</v>
      </c>
      <c r="I56" s="668">
        <f>+AVERAGEIF(TRM_dia[MES],Tabla3[[#This Row],[Fecha]],TRM_dia[TRM])</f>
        <v>4038.804666666666</v>
      </c>
      <c r="J56">
        <v>283.11900000000003</v>
      </c>
      <c r="K56">
        <v>137.09</v>
      </c>
      <c r="L56">
        <v>126.36</v>
      </c>
      <c r="M56">
        <v>255.334</v>
      </c>
      <c r="N56">
        <v>175.53299999999999</v>
      </c>
      <c r="O56" s="668">
        <f>+INDEX(Tabla2[Salarios],MATCH(YEAR(Tabla3[[#This Row],[Fecha]]),Tabla2[año],0))/Tabla3[[#This Row],[TRM año de cálculo $/USD]]</f>
        <v>287.21369210395096</v>
      </c>
      <c r="P56">
        <f>+Tabla3[[#This Row],[IPC]]/Tabla3[[#This Row],[TRM año de cálculo $/USD]]</f>
        <v>3.3943211250457447E-2</v>
      </c>
      <c r="U56" s="693">
        <f t="shared" si="0"/>
        <v>39845</v>
      </c>
      <c r="V56" s="694">
        <v>39867</v>
      </c>
      <c r="W56" s="695">
        <v>2588.31</v>
      </c>
    </row>
    <row r="57" spans="8:23">
      <c r="H57" s="667">
        <v>45261</v>
      </c>
      <c r="I57" s="668">
        <f>+AVERAGEIF(TRM_dia[MES],Tabla3[[#This Row],[Fecha]],TRM_dia[TRM])</f>
        <v>3948.2067741935471</v>
      </c>
      <c r="J57">
        <v>281.25900000000001</v>
      </c>
      <c r="K57">
        <v>137.72</v>
      </c>
      <c r="L57">
        <v>126.48</v>
      </c>
      <c r="M57">
        <v>254.56800000000001</v>
      </c>
      <c r="N57">
        <v>175.44800000000001</v>
      </c>
      <c r="O57" s="668">
        <f>+INDEX(Tabla2[Salarios],MATCH(YEAR(Tabla3[[#This Row],[Fecha]]),Tabla2[año],0))/Tabla3[[#This Row],[TRM año de cálculo $/USD]]</f>
        <v>293.80426769490543</v>
      </c>
      <c r="P57">
        <f>+Tabla3[[#This Row],[IPC]]/Tabla3[[#This Row],[TRM año de cálculo $/USD]]</f>
        <v>3.4881658402536535E-2</v>
      </c>
      <c r="U57" s="693">
        <f t="shared" si="0"/>
        <v>39845</v>
      </c>
      <c r="V57" s="694">
        <v>39868</v>
      </c>
      <c r="W57" s="695">
        <v>2572.3000000000002</v>
      </c>
    </row>
    <row r="58" spans="8:23">
      <c r="H58" s="667">
        <v>45292</v>
      </c>
      <c r="I58" s="668">
        <f>+AVERAGEIF(TRM_dia[MES],Tabla3[[#This Row],[Fecha]],TRM_dia[TRM])</f>
        <v>3915.1987096774187</v>
      </c>
      <c r="J58" s="739">
        <v>281.779</v>
      </c>
      <c r="K58">
        <v>138.97999999999999</v>
      </c>
      <c r="L58">
        <v>129.59</v>
      </c>
      <c r="M58">
        <v>253.87299999999999</v>
      </c>
      <c r="N58">
        <v>178.553</v>
      </c>
      <c r="O58" s="668">
        <f>+INDEX(Tabla2[Salarios],MATCH(YEAR(Tabla3[[#This Row],[Fecha]]),Tabla2[año],0))/Tabla3[[#This Row],[TRM año de cálculo $/USD]]</f>
        <v>332.03934114166833</v>
      </c>
      <c r="P58">
        <f>+Tabla3[[#This Row],[IPC]]/Tabla3[[#This Row],[TRM año de cálculo $/USD]]</f>
        <v>3.5497559716822349E-2</v>
      </c>
      <c r="U58" s="693">
        <f t="shared" si="0"/>
        <v>39845</v>
      </c>
      <c r="V58" s="694">
        <v>39869</v>
      </c>
      <c r="W58" s="695">
        <v>2596.37</v>
      </c>
    </row>
    <row r="59" spans="8:23">
      <c r="H59" s="781">
        <v>45323</v>
      </c>
      <c r="I59" s="782">
        <f>+AVERAGEIF(TRM_dia[MES],Tabla3[[#This Row],[Fecha]],TRM_dia[TRM])</f>
        <v>3931.4386206896547</v>
      </c>
      <c r="J59" s="783">
        <v>288.49599999999998</v>
      </c>
      <c r="K59" s="1">
        <v>140.49</v>
      </c>
      <c r="L59" s="1">
        <v>131.13999999999999</v>
      </c>
      <c r="M59" s="1">
        <v>253.48099999999999</v>
      </c>
      <c r="N59" s="1">
        <v>178.90100000000001</v>
      </c>
      <c r="O59" s="782">
        <f>+INDEX(Tabla2[Salarios],MATCH(YEAR(Tabla3[[#This Row],[Fecha]]),Tabla2[año],0))/Tabla3[[#This Row],[TRM año de cálculo $/USD]]</f>
        <v>330.6677594198211</v>
      </c>
      <c r="P59" s="1">
        <f>+Tabla3[[#This Row],[IPC]]/Tabla3[[#This Row],[TRM año de cálculo $/USD]]</f>
        <v>3.5735010400685129E-2</v>
      </c>
      <c r="U59" s="693">
        <f t="shared" si="0"/>
        <v>39845</v>
      </c>
      <c r="V59" s="694">
        <v>39870</v>
      </c>
      <c r="W59" s="695">
        <v>2575.5</v>
      </c>
    </row>
    <row r="60" spans="8:23">
      <c r="H60" s="781">
        <v>45352</v>
      </c>
      <c r="I60" s="782">
        <f>+AVERAGEIF(TRM_dia[MES],Tabla3[[#This Row],[Fecha]],TRM_dia[TRM])</f>
        <v>3899.3412903225803</v>
      </c>
      <c r="J60" s="783">
        <v>289.36799999999999</v>
      </c>
      <c r="K60" s="1">
        <v>141.47999999999999</v>
      </c>
      <c r="L60" s="1">
        <v>131.07</v>
      </c>
      <c r="M60" s="1">
        <v>252.571</v>
      </c>
      <c r="N60" s="1">
        <v>180.048</v>
      </c>
      <c r="O60" s="782">
        <f>+INDEX(Tabla2[Salarios],MATCH(YEAR(Tabla3[[#This Row],[Fecha]]),Tabla2[año],0))/Tabla3[[#This Row],[TRM año de cálculo $/USD]]</f>
        <v>333.38964281642939</v>
      </c>
      <c r="P60" s="1">
        <f>+Tabla3[[#This Row],[IPC]]/Tabla3[[#This Row],[TRM año de cálculo $/USD]]</f>
        <v>3.6283051281283403E-2</v>
      </c>
      <c r="U60" s="693">
        <f t="shared" si="0"/>
        <v>39845</v>
      </c>
      <c r="V60" s="694">
        <v>39871</v>
      </c>
      <c r="W60" s="695">
        <v>2555.0500000000002</v>
      </c>
    </row>
    <row r="61" spans="8:23">
      <c r="H61" s="781">
        <v>45383</v>
      </c>
      <c r="I61" s="782">
        <f>+AVERAGEIF(TRM_dia[MES],Tabla3[[#This Row],[Fecha]],TRM_dia[TRM])</f>
        <v>3867.9753333333342</v>
      </c>
      <c r="J61" s="783">
        <v>285.262</v>
      </c>
      <c r="K61" s="1">
        <v>142.32</v>
      </c>
      <c r="L61" s="1">
        <v>131.38</v>
      </c>
      <c r="M61" s="1">
        <v>253.43299999999999</v>
      </c>
      <c r="N61" s="1">
        <v>180.77</v>
      </c>
      <c r="O61" s="782">
        <f>+INDEX(Tabla2[Salarios],MATCH(YEAR(Tabla3[[#This Row],[Fecha]]),Tabla2[año],0))/Tabla3[[#This Row],[TRM año de cálculo $/USD]]</f>
        <v>336.09314640579396</v>
      </c>
      <c r="P61" s="1">
        <f>+Tabla3[[#This Row],[IPC]]/Tabla3[[#This Row],[TRM año de cálculo $/USD]]</f>
        <v>3.679444353574815E-2</v>
      </c>
      <c r="U61" s="693">
        <f t="shared" si="0"/>
        <v>39845</v>
      </c>
      <c r="V61" s="694">
        <v>39872</v>
      </c>
      <c r="W61" s="695">
        <v>2555.89</v>
      </c>
    </row>
    <row r="62" spans="8:23">
      <c r="H62" s="781">
        <v>45413</v>
      </c>
      <c r="I62" s="782">
        <f>+AVERAGEIF(TRM_dia[MES],Tabla3[[#This Row],[Fecha]],TRM_dia[TRM])</f>
        <v>3869.1006451612907</v>
      </c>
      <c r="J62" s="783">
        <v>280.589</v>
      </c>
      <c r="K62" s="1">
        <v>142.91999999999999</v>
      </c>
      <c r="L62" s="1">
        <v>131.81</v>
      </c>
      <c r="M62" s="1">
        <v>259.67500000000001</v>
      </c>
      <c r="N62" s="1">
        <v>180.77</v>
      </c>
      <c r="O62" s="782">
        <f>+INDEX(Tabla2[Salarios],MATCH(YEAR(Tabla3[[#This Row],[Fecha]]),Tabla2[año],0))/Tabla3[[#This Row],[TRM año de cálculo $/USD]]</f>
        <v>335.99539511224242</v>
      </c>
      <c r="P62" s="1">
        <f>+Tabla3[[#This Row],[IPC]]/Tabla3[[#This Row],[TRM año de cálculo $/USD]]</f>
        <v>3.6938816822647449E-2</v>
      </c>
      <c r="U62" s="693">
        <f t="shared" si="0"/>
        <v>39873</v>
      </c>
      <c r="V62" s="694">
        <v>39873</v>
      </c>
      <c r="W62" s="695">
        <v>2555.89</v>
      </c>
    </row>
    <row r="63" spans="8:23">
      <c r="H63" s="781">
        <v>45444</v>
      </c>
      <c r="I63" s="782">
        <f>+AVERAGEIF(TRM_dia[MES],Tabla3[[#This Row],[Fecha]],TRM_dia[TRM])</f>
        <v>4042.7970000000005</v>
      </c>
      <c r="J63" s="783">
        <v>277.077</v>
      </c>
      <c r="K63" s="1">
        <v>143.38</v>
      </c>
      <c r="L63" s="1">
        <v>131.35</v>
      </c>
      <c r="M63" s="1">
        <v>268.48700000000002</v>
      </c>
      <c r="N63" s="1">
        <v>182.19900000000001</v>
      </c>
      <c r="O63" s="782">
        <f>+INDEX(Tabla2[Salarios],MATCH(YEAR(Tabla3[[#This Row],[Fecha]]),Tabla2[año],0))/Tabla3[[#This Row],[TRM año de cálculo $/USD]]</f>
        <v>321.55955394248087</v>
      </c>
      <c r="P63" s="1">
        <f>+Tabla3[[#This Row],[IPC]]/Tabla3[[#This Row],[TRM año de cálculo $/USD]]</f>
        <v>3.5465545264825316E-2</v>
      </c>
      <c r="U63" s="693">
        <f t="shared" si="0"/>
        <v>39873</v>
      </c>
      <c r="V63" s="694">
        <v>39874</v>
      </c>
      <c r="W63" s="695">
        <v>2555.89</v>
      </c>
    </row>
    <row r="64" spans="8:23">
      <c r="H64" s="781">
        <v>45474</v>
      </c>
      <c r="I64" s="782">
        <f>+AVERAGEIF(TRM_dia[MES],Tabla3[[#This Row],[Fecha]],TRM_dia[TRM])</f>
        <v>4036.921935483871</v>
      </c>
      <c r="J64" s="783">
        <v>275.23599999999999</v>
      </c>
      <c r="K64" s="1">
        <v>143.66999999999999</v>
      </c>
      <c r="L64" s="1">
        <v>131.05000000000001</v>
      </c>
      <c r="M64" s="1">
        <v>267.39100000000002</v>
      </c>
      <c r="N64" s="1">
        <v>182.19900000000001</v>
      </c>
      <c r="O64" s="782">
        <f>+INDEX(Tabla2[Salarios],MATCH(YEAR(Tabla3[[#This Row],[Fecha]]),Tabla2[año],0))/Tabla3[[#This Row],[TRM año de cálculo $/USD]]</f>
        <v>322.027530077611</v>
      </c>
      <c r="P64" s="1">
        <f>+Tabla3[[#This Row],[IPC]]/Tabla3[[#This Row],[TRM año de cálculo $/USD]]</f>
        <v>3.5588996343269515E-2</v>
      </c>
      <c r="U64" s="693">
        <f t="shared" si="0"/>
        <v>39873</v>
      </c>
      <c r="V64" s="694">
        <v>39875</v>
      </c>
      <c r="W64" s="695">
        <v>2590.9699999999998</v>
      </c>
    </row>
    <row r="65" spans="8:23">
      <c r="H65" s="781">
        <v>45505</v>
      </c>
      <c r="I65" s="782">
        <f>+AVERAGEIF(TRM_dia[MES],Tabla3[[#This Row],[Fecha]],TRM_dia[TRM])</f>
        <v>4065.5464516129036</v>
      </c>
      <c r="J65" s="783">
        <v>271.89400000000001</v>
      </c>
      <c r="K65" s="1">
        <v>143.66999999999999</v>
      </c>
      <c r="L65" s="1">
        <v>131.11000000000001</v>
      </c>
      <c r="M65" s="1">
        <v>263.92200000000003</v>
      </c>
      <c r="N65" s="1">
        <v>182.19900000000001</v>
      </c>
      <c r="O65" s="782">
        <f>+INDEX(Tabla2[Salarios],MATCH(YEAR(Tabla3[[#This Row],[Fecha]]),Tabla2[año],0))/Tabla3[[#This Row],[TRM año de cálculo $/USD]]</f>
        <v>319.76021316501198</v>
      </c>
      <c r="P65" s="1">
        <f>+Tabla3[[#This Row],[IPC]]/Tabla3[[#This Row],[TRM año de cálculo $/USD]]</f>
        <v>3.5338422942628664E-2</v>
      </c>
      <c r="U65" s="693">
        <f t="shared" si="0"/>
        <v>39873</v>
      </c>
      <c r="V65" s="694">
        <v>39876</v>
      </c>
      <c r="W65" s="695">
        <v>2588.96</v>
      </c>
    </row>
    <row r="66" spans="8:23">
      <c r="H66" s="781">
        <v>45536</v>
      </c>
      <c r="I66" s="782">
        <f>+AVERAGEIF(TRM_dia[MES],Tabla3[[#This Row],[Fecha]],TRM_dia[TRM])</f>
        <v>4182.5123333333349</v>
      </c>
      <c r="J66" s="783">
        <v>264.77600000000001</v>
      </c>
      <c r="K66" s="1">
        <v>144.02000000000001</v>
      </c>
      <c r="L66" s="1">
        <v>131.07</v>
      </c>
      <c r="M66" s="1">
        <v>260.77499999999998</v>
      </c>
      <c r="N66" s="1">
        <v>182.19900000000001</v>
      </c>
      <c r="O66" s="782">
        <f>+INDEX(Tabla2[Salarios],MATCH(YEAR(Tabla3[[#This Row],[Fecha]]),Tabla2[año],0))/Tabla3[[#This Row],[TRM año de cálculo $/USD]]</f>
        <v>310.81797168639537</v>
      </c>
      <c r="P66" s="1">
        <f>+Tabla3[[#This Row],[IPC]]/Tabla3[[#This Row],[TRM año de cálculo $/USD]]</f>
        <v>3.4433849447903592E-2</v>
      </c>
      <c r="U66" s="693">
        <f t="shared" si="0"/>
        <v>39873</v>
      </c>
      <c r="V66" s="694">
        <v>39877</v>
      </c>
      <c r="W66" s="695">
        <v>2589.48</v>
      </c>
    </row>
    <row r="67" spans="8:23">
      <c r="H67" s="781">
        <v>45566</v>
      </c>
      <c r="I67" s="782">
        <f>+AVERAGEIF(TRM_dia[MES],Tabla3[[#This Row],[Fecha]],TRM_dia[TRM])</f>
        <v>4249.4699999999984</v>
      </c>
      <c r="J67" s="783">
        <v>265.29700000000003</v>
      </c>
      <c r="K67" s="1">
        <v>143.83000000000001</v>
      </c>
      <c r="L67" s="1">
        <v>131.28</v>
      </c>
      <c r="M67" s="1">
        <v>263.214</v>
      </c>
      <c r="N67" s="1">
        <v>182.86500000000001</v>
      </c>
      <c r="O67" s="782">
        <f>+INDEX(Tabla2[Salarios],MATCH(YEAR(Tabla3[[#This Row],[Fecha]]),Tabla2[año],0))/Tabla3[[#This Row],[TRM año de cálculo $/USD]]</f>
        <v>305.9205030274365</v>
      </c>
      <c r="P67" s="1">
        <f>+Tabla3[[#This Row],[IPC]]/Tabla3[[#This Row],[TRM año de cálculo $/USD]]</f>
        <v>3.3846573808027837E-2</v>
      </c>
      <c r="U67" s="693">
        <f t="shared" ref="U67:U130" si="1">+DATE(YEAR(V67),MONTH(V67),1)</f>
        <v>39873</v>
      </c>
      <c r="V67" s="694">
        <v>39878</v>
      </c>
      <c r="W67" s="695">
        <v>2572.92</v>
      </c>
    </row>
    <row r="68" spans="8:23">
      <c r="H68" s="781">
        <v>45597</v>
      </c>
      <c r="I68" s="782">
        <f>+AVERAGEIF(TRM_dia[MES],Tabla3[[#This Row],[Fecha]],TRM_dia[TRM])</f>
        <v>4408.6523333333334</v>
      </c>
      <c r="J68" s="783">
        <v>264.61200000000002</v>
      </c>
      <c r="K68" s="1">
        <v>144.22</v>
      </c>
      <c r="L68" s="1">
        <v>131.22999999999999</v>
      </c>
      <c r="M68" s="1">
        <v>267.82</v>
      </c>
      <c r="N68" s="1">
        <v>185.00700000000001</v>
      </c>
      <c r="O68" s="782">
        <f>+INDEX(Tabla2[Salarios],MATCH(YEAR(Tabla3[[#This Row],[Fecha]]),Tabla2[año],0))/Tabla3[[#This Row],[TRM año de cálculo $/USD]]</f>
        <v>294.87469224344221</v>
      </c>
      <c r="P68" s="1">
        <f>+Tabla3[[#This Row],[IPC]]/Tabla3[[#This Row],[TRM año de cálculo $/USD]]</f>
        <v>3.2712944704114795E-2</v>
      </c>
      <c r="U68" s="693">
        <f t="shared" si="1"/>
        <v>39873</v>
      </c>
      <c r="V68" s="694">
        <v>39879</v>
      </c>
      <c r="W68" s="695">
        <v>2548.5700000000002</v>
      </c>
    </row>
    <row r="69" spans="8:23">
      <c r="H69" s="781">
        <v>45627</v>
      </c>
      <c r="I69" s="782">
        <f>+AVERAGEIF(TRM_dia[MES],Tabla3[[#This Row],[Fecha]],TRM_dia[TRM])</f>
        <v>4385.1487096774199</v>
      </c>
      <c r="J69" s="783">
        <v>255.18600000000001</v>
      </c>
      <c r="K69" s="1">
        <v>144.88</v>
      </c>
      <c r="L69" s="1">
        <v>131.25</v>
      </c>
      <c r="M69" s="1">
        <v>270.44200000000001</v>
      </c>
      <c r="N69" s="1">
        <v>185.55799999999999</v>
      </c>
      <c r="O69" s="782">
        <f>+INDEX(Tabla2[Salarios],MATCH(YEAR(Tabla3[[#This Row],[Fecha]]),Tabla2[año],0))/Tabla3[[#This Row],[TRM año de cálculo $/USD]]</f>
        <v>296.45516858552116</v>
      </c>
      <c r="P69" s="1">
        <f>+Tabla3[[#This Row],[IPC]]/Tabla3[[#This Row],[TRM año de cálculo $/USD]]</f>
        <v>3.3038788326669462E-2</v>
      </c>
      <c r="U69" s="693">
        <f t="shared" si="1"/>
        <v>39873</v>
      </c>
      <c r="V69" s="694">
        <v>39880</v>
      </c>
      <c r="W69" s="695">
        <v>2548.5700000000002</v>
      </c>
    </row>
    <row r="70" spans="8:23">
      <c r="U70" s="693">
        <f t="shared" si="1"/>
        <v>39873</v>
      </c>
      <c r="V70" s="694">
        <v>39881</v>
      </c>
      <c r="W70" s="695">
        <v>2548.5700000000002</v>
      </c>
    </row>
    <row r="71" spans="8:23">
      <c r="U71" s="693">
        <f t="shared" si="1"/>
        <v>39873</v>
      </c>
      <c r="V71" s="694">
        <v>39882</v>
      </c>
      <c r="W71" s="695">
        <v>2559.36</v>
      </c>
    </row>
    <row r="72" spans="8:23">
      <c r="U72" s="693">
        <f t="shared" si="1"/>
        <v>39873</v>
      </c>
      <c r="V72" s="694">
        <v>39883</v>
      </c>
      <c r="W72" s="695">
        <v>2525.06</v>
      </c>
    </row>
    <row r="73" spans="8:23">
      <c r="U73" s="693">
        <f t="shared" si="1"/>
        <v>39873</v>
      </c>
      <c r="V73" s="694">
        <v>39884</v>
      </c>
      <c r="W73" s="695">
        <v>2506.73</v>
      </c>
    </row>
    <row r="74" spans="8:23">
      <c r="U74" s="693">
        <f t="shared" si="1"/>
        <v>39873</v>
      </c>
      <c r="V74" s="694">
        <v>39885</v>
      </c>
      <c r="W74" s="695">
        <v>2481.2600000000002</v>
      </c>
    </row>
    <row r="75" spans="8:23">
      <c r="U75" s="693">
        <f t="shared" si="1"/>
        <v>39873</v>
      </c>
      <c r="V75" s="694">
        <v>39886</v>
      </c>
      <c r="W75" s="695">
        <v>2445.3000000000002</v>
      </c>
    </row>
    <row r="76" spans="8:23">
      <c r="U76" s="693">
        <f t="shared" si="1"/>
        <v>39873</v>
      </c>
      <c r="V76" s="694">
        <v>39887</v>
      </c>
      <c r="W76" s="695">
        <v>2445.3000000000002</v>
      </c>
    </row>
    <row r="77" spans="8:23">
      <c r="U77" s="693">
        <f t="shared" si="1"/>
        <v>39873</v>
      </c>
      <c r="V77" s="694">
        <v>39888</v>
      </c>
      <c r="W77" s="695">
        <v>2445.3000000000002</v>
      </c>
    </row>
    <row r="78" spans="8:23">
      <c r="U78" s="693">
        <f t="shared" si="1"/>
        <v>39873</v>
      </c>
      <c r="V78" s="694">
        <v>39889</v>
      </c>
      <c r="W78" s="695">
        <v>2390.96</v>
      </c>
    </row>
    <row r="79" spans="8:23">
      <c r="U79" s="693">
        <f t="shared" si="1"/>
        <v>39873</v>
      </c>
      <c r="V79" s="694">
        <v>39890</v>
      </c>
      <c r="W79" s="695">
        <v>2390.98</v>
      </c>
    </row>
    <row r="80" spans="8:23">
      <c r="U80" s="693">
        <f t="shared" si="1"/>
        <v>39873</v>
      </c>
      <c r="V80" s="694">
        <v>39891</v>
      </c>
      <c r="W80" s="695">
        <v>2383.15</v>
      </c>
    </row>
    <row r="81" spans="21:23">
      <c r="U81" s="693">
        <f t="shared" si="1"/>
        <v>39873</v>
      </c>
      <c r="V81" s="694">
        <v>39892</v>
      </c>
      <c r="W81" s="695">
        <v>2335.29</v>
      </c>
    </row>
    <row r="82" spans="21:23">
      <c r="U82" s="693">
        <f t="shared" si="1"/>
        <v>39873</v>
      </c>
      <c r="V82" s="694">
        <v>39893</v>
      </c>
      <c r="W82" s="695">
        <v>2340.83</v>
      </c>
    </row>
    <row r="83" spans="21:23">
      <c r="U83" s="693">
        <f t="shared" si="1"/>
        <v>39873</v>
      </c>
      <c r="V83" s="694">
        <v>39894</v>
      </c>
      <c r="W83" s="695">
        <v>2340.83</v>
      </c>
    </row>
    <row r="84" spans="21:23">
      <c r="U84" s="693">
        <f t="shared" si="1"/>
        <v>39873</v>
      </c>
      <c r="V84" s="694">
        <v>39895</v>
      </c>
      <c r="W84" s="695">
        <v>2340.83</v>
      </c>
    </row>
    <row r="85" spans="21:23">
      <c r="U85" s="693">
        <f t="shared" si="1"/>
        <v>39873</v>
      </c>
      <c r="V85" s="694">
        <v>39896</v>
      </c>
      <c r="W85" s="695">
        <v>2340.83</v>
      </c>
    </row>
    <row r="86" spans="21:23">
      <c r="U86" s="693">
        <f t="shared" si="1"/>
        <v>39873</v>
      </c>
      <c r="V86" s="694">
        <v>39897</v>
      </c>
      <c r="W86" s="695">
        <v>2353.21</v>
      </c>
    </row>
    <row r="87" spans="21:23">
      <c r="U87" s="693">
        <f t="shared" si="1"/>
        <v>39873</v>
      </c>
      <c r="V87" s="694">
        <v>39898</v>
      </c>
      <c r="W87" s="695">
        <v>2379.94</v>
      </c>
    </row>
    <row r="88" spans="21:23">
      <c r="U88" s="693">
        <f t="shared" si="1"/>
        <v>39873</v>
      </c>
      <c r="V88" s="694">
        <v>39899</v>
      </c>
      <c r="W88" s="695">
        <v>2435.81</v>
      </c>
    </row>
    <row r="89" spans="21:23">
      <c r="U89" s="693">
        <f t="shared" si="1"/>
        <v>39873</v>
      </c>
      <c r="V89" s="694">
        <v>39900</v>
      </c>
      <c r="W89" s="695">
        <v>2485.56</v>
      </c>
    </row>
    <row r="90" spans="21:23">
      <c r="U90" s="693">
        <f t="shared" si="1"/>
        <v>39873</v>
      </c>
      <c r="V90" s="694">
        <v>39901</v>
      </c>
      <c r="W90" s="695">
        <v>2485.56</v>
      </c>
    </row>
    <row r="91" spans="21:23">
      <c r="U91" s="693">
        <f t="shared" si="1"/>
        <v>39873</v>
      </c>
      <c r="V91" s="694">
        <v>39902</v>
      </c>
      <c r="W91" s="695">
        <v>2485.56</v>
      </c>
    </row>
    <row r="92" spans="21:23">
      <c r="U92" s="693">
        <f t="shared" si="1"/>
        <v>39873</v>
      </c>
      <c r="V92" s="694">
        <v>39903</v>
      </c>
      <c r="W92" s="695">
        <v>2561.21</v>
      </c>
    </row>
    <row r="93" spans="21:23">
      <c r="U93" s="693">
        <f t="shared" si="1"/>
        <v>39904</v>
      </c>
      <c r="V93" s="694">
        <v>39904</v>
      </c>
      <c r="W93" s="695">
        <v>2544.2399999999998</v>
      </c>
    </row>
    <row r="94" spans="21:23">
      <c r="U94" s="693">
        <f t="shared" si="1"/>
        <v>39904</v>
      </c>
      <c r="V94" s="694">
        <v>39905</v>
      </c>
      <c r="W94" s="695">
        <v>2534.9899999999998</v>
      </c>
    </row>
    <row r="95" spans="21:23">
      <c r="U95" s="693">
        <f t="shared" si="1"/>
        <v>39904</v>
      </c>
      <c r="V95" s="694">
        <v>39906</v>
      </c>
      <c r="W95" s="695">
        <v>2451.7199999999998</v>
      </c>
    </row>
    <row r="96" spans="21:23">
      <c r="U96" s="693">
        <f t="shared" si="1"/>
        <v>39904</v>
      </c>
      <c r="V96" s="694">
        <v>39907</v>
      </c>
      <c r="W96" s="695">
        <v>2422.71</v>
      </c>
    </row>
    <row r="97" spans="21:23">
      <c r="U97" s="693">
        <f t="shared" si="1"/>
        <v>39904</v>
      </c>
      <c r="V97" s="694">
        <v>39908</v>
      </c>
      <c r="W97" s="695">
        <v>2422.71</v>
      </c>
    </row>
    <row r="98" spans="21:23">
      <c r="U98" s="693">
        <f t="shared" si="1"/>
        <v>39904</v>
      </c>
      <c r="V98" s="694">
        <v>39909</v>
      </c>
      <c r="W98" s="695">
        <v>2422.71</v>
      </c>
    </row>
    <row r="99" spans="21:23">
      <c r="U99" s="693">
        <f t="shared" si="1"/>
        <v>39904</v>
      </c>
      <c r="V99" s="694">
        <v>39910</v>
      </c>
      <c r="W99" s="695">
        <v>2408.42</v>
      </c>
    </row>
    <row r="100" spans="21:23">
      <c r="U100" s="693">
        <f t="shared" si="1"/>
        <v>39904</v>
      </c>
      <c r="V100" s="694">
        <v>39911</v>
      </c>
      <c r="W100" s="695">
        <v>2416.63</v>
      </c>
    </row>
    <row r="101" spans="21:23">
      <c r="U101" s="693">
        <f t="shared" si="1"/>
        <v>39904</v>
      </c>
      <c r="V101" s="694">
        <v>39912</v>
      </c>
      <c r="W101" s="695">
        <v>2388.11</v>
      </c>
    </row>
    <row r="102" spans="21:23">
      <c r="U102" s="693">
        <f t="shared" si="1"/>
        <v>39904</v>
      </c>
      <c r="V102" s="694">
        <v>39913</v>
      </c>
      <c r="W102" s="695">
        <v>2388.11</v>
      </c>
    </row>
    <row r="103" spans="21:23">
      <c r="U103" s="693">
        <f t="shared" si="1"/>
        <v>39904</v>
      </c>
      <c r="V103" s="694">
        <v>39914</v>
      </c>
      <c r="W103" s="695">
        <v>2388.11</v>
      </c>
    </row>
    <row r="104" spans="21:23">
      <c r="U104" s="693">
        <f t="shared" si="1"/>
        <v>39904</v>
      </c>
      <c r="V104" s="694">
        <v>39915</v>
      </c>
      <c r="W104" s="695">
        <v>2388.11</v>
      </c>
    </row>
    <row r="105" spans="21:23">
      <c r="U105" s="693">
        <f t="shared" si="1"/>
        <v>39904</v>
      </c>
      <c r="V105" s="694">
        <v>39916</v>
      </c>
      <c r="W105" s="695">
        <v>2388.11</v>
      </c>
    </row>
    <row r="106" spans="21:23">
      <c r="U106" s="693">
        <f t="shared" si="1"/>
        <v>39904</v>
      </c>
      <c r="V106" s="694">
        <v>39917</v>
      </c>
      <c r="W106" s="695">
        <v>2392.2199999999998</v>
      </c>
    </row>
    <row r="107" spans="21:23">
      <c r="U107" s="693">
        <f t="shared" si="1"/>
        <v>39904</v>
      </c>
      <c r="V107" s="694">
        <v>39918</v>
      </c>
      <c r="W107" s="695">
        <v>2394.27</v>
      </c>
    </row>
    <row r="108" spans="21:23">
      <c r="U108" s="693">
        <f t="shared" si="1"/>
        <v>39904</v>
      </c>
      <c r="V108" s="694">
        <v>39919</v>
      </c>
      <c r="W108" s="695">
        <v>2380.69</v>
      </c>
    </row>
    <row r="109" spans="21:23">
      <c r="U109" s="693">
        <f t="shared" si="1"/>
        <v>39904</v>
      </c>
      <c r="V109" s="694">
        <v>39920</v>
      </c>
      <c r="W109" s="695">
        <v>2344.98</v>
      </c>
    </row>
    <row r="110" spans="21:23">
      <c r="U110" s="693">
        <f t="shared" si="1"/>
        <v>39904</v>
      </c>
      <c r="V110" s="694">
        <v>39921</v>
      </c>
      <c r="W110" s="695">
        <v>2343.34</v>
      </c>
    </row>
    <row r="111" spans="21:23">
      <c r="U111" s="693">
        <f t="shared" si="1"/>
        <v>39904</v>
      </c>
      <c r="V111" s="694">
        <v>39922</v>
      </c>
      <c r="W111" s="695">
        <v>2343.34</v>
      </c>
    </row>
    <row r="112" spans="21:23">
      <c r="U112" s="693">
        <f t="shared" si="1"/>
        <v>39904</v>
      </c>
      <c r="V112" s="694">
        <v>39923</v>
      </c>
      <c r="W112" s="695">
        <v>2343.34</v>
      </c>
    </row>
    <row r="113" spans="21:23">
      <c r="U113" s="693">
        <f t="shared" si="1"/>
        <v>39904</v>
      </c>
      <c r="V113" s="694">
        <v>39924</v>
      </c>
      <c r="W113" s="695">
        <v>2376.38</v>
      </c>
    </row>
    <row r="114" spans="21:23">
      <c r="U114" s="693">
        <f t="shared" si="1"/>
        <v>39904</v>
      </c>
      <c r="V114" s="694">
        <v>39925</v>
      </c>
      <c r="W114" s="695">
        <v>2338.6</v>
      </c>
    </row>
    <row r="115" spans="21:23">
      <c r="U115" s="693">
        <f t="shared" si="1"/>
        <v>39904</v>
      </c>
      <c r="V115" s="694">
        <v>39926</v>
      </c>
      <c r="W115" s="695">
        <v>2318.83</v>
      </c>
    </row>
    <row r="116" spans="21:23">
      <c r="U116" s="693">
        <f t="shared" si="1"/>
        <v>39904</v>
      </c>
      <c r="V116" s="694">
        <v>39927</v>
      </c>
      <c r="W116" s="695">
        <v>2300.7399999999998</v>
      </c>
    </row>
    <row r="117" spans="21:23">
      <c r="U117" s="693">
        <f t="shared" si="1"/>
        <v>39904</v>
      </c>
      <c r="V117" s="694">
        <v>39928</v>
      </c>
      <c r="W117" s="695">
        <v>2283.1999999999998</v>
      </c>
    </row>
    <row r="118" spans="21:23">
      <c r="U118" s="693">
        <f t="shared" si="1"/>
        <v>39904</v>
      </c>
      <c r="V118" s="694">
        <v>39929</v>
      </c>
      <c r="W118" s="695">
        <v>2283.1999999999998</v>
      </c>
    </row>
    <row r="119" spans="21:23">
      <c r="U119" s="693">
        <f t="shared" si="1"/>
        <v>39904</v>
      </c>
      <c r="V119" s="694">
        <v>39930</v>
      </c>
      <c r="W119" s="695">
        <v>2283.1999999999998</v>
      </c>
    </row>
    <row r="120" spans="21:23">
      <c r="U120" s="693">
        <f t="shared" si="1"/>
        <v>39904</v>
      </c>
      <c r="V120" s="694">
        <v>39931</v>
      </c>
      <c r="W120" s="695">
        <v>2325.02</v>
      </c>
    </row>
    <row r="121" spans="21:23">
      <c r="U121" s="693">
        <f t="shared" si="1"/>
        <v>39904</v>
      </c>
      <c r="V121" s="694">
        <v>39932</v>
      </c>
      <c r="W121" s="695">
        <v>2332.4699999999998</v>
      </c>
    </row>
    <row r="122" spans="21:23">
      <c r="U122" s="693">
        <f t="shared" si="1"/>
        <v>39904</v>
      </c>
      <c r="V122" s="694">
        <v>39933</v>
      </c>
      <c r="W122" s="695">
        <v>2289.73</v>
      </c>
    </row>
    <row r="123" spans="21:23">
      <c r="U123" s="693">
        <f t="shared" si="1"/>
        <v>39934</v>
      </c>
      <c r="V123" s="694">
        <v>39934</v>
      </c>
      <c r="W123" s="695">
        <v>2288.64</v>
      </c>
    </row>
    <row r="124" spans="21:23">
      <c r="U124" s="693">
        <f t="shared" si="1"/>
        <v>39934</v>
      </c>
      <c r="V124" s="694">
        <v>39935</v>
      </c>
      <c r="W124" s="695">
        <v>2288.64</v>
      </c>
    </row>
    <row r="125" spans="21:23">
      <c r="U125" s="693">
        <f t="shared" si="1"/>
        <v>39934</v>
      </c>
      <c r="V125" s="694">
        <v>39936</v>
      </c>
      <c r="W125" s="695">
        <v>2288.64</v>
      </c>
    </row>
    <row r="126" spans="21:23">
      <c r="U126" s="693">
        <f t="shared" si="1"/>
        <v>39934</v>
      </c>
      <c r="V126" s="694">
        <v>39937</v>
      </c>
      <c r="W126" s="695">
        <v>2288.64</v>
      </c>
    </row>
    <row r="127" spans="21:23">
      <c r="U127" s="693">
        <f t="shared" si="1"/>
        <v>39934</v>
      </c>
      <c r="V127" s="694">
        <v>39938</v>
      </c>
      <c r="W127" s="695">
        <v>2272.5500000000002</v>
      </c>
    </row>
    <row r="128" spans="21:23">
      <c r="U128" s="693">
        <f t="shared" si="1"/>
        <v>39934</v>
      </c>
      <c r="V128" s="694">
        <v>39939</v>
      </c>
      <c r="W128" s="695">
        <v>2256.9899999999998</v>
      </c>
    </row>
    <row r="129" spans="21:23">
      <c r="U129" s="693">
        <f t="shared" si="1"/>
        <v>39934</v>
      </c>
      <c r="V129" s="694">
        <v>39940</v>
      </c>
      <c r="W129" s="695">
        <v>2233.5</v>
      </c>
    </row>
    <row r="130" spans="21:23">
      <c r="U130" s="693">
        <f t="shared" si="1"/>
        <v>39934</v>
      </c>
      <c r="V130" s="694">
        <v>39941</v>
      </c>
      <c r="W130" s="695">
        <v>2208.98</v>
      </c>
    </row>
    <row r="131" spans="21:23">
      <c r="U131" s="693">
        <f t="shared" ref="U131:U194" si="2">+DATE(YEAR(V131),MONTH(V131),1)</f>
        <v>39934</v>
      </c>
      <c r="V131" s="694">
        <v>39942</v>
      </c>
      <c r="W131" s="695">
        <v>2210.35</v>
      </c>
    </row>
    <row r="132" spans="21:23">
      <c r="U132" s="693">
        <f t="shared" si="2"/>
        <v>39934</v>
      </c>
      <c r="V132" s="694">
        <v>39943</v>
      </c>
      <c r="W132" s="695">
        <v>2210.35</v>
      </c>
    </row>
    <row r="133" spans="21:23">
      <c r="U133" s="693">
        <f t="shared" si="2"/>
        <v>39934</v>
      </c>
      <c r="V133" s="694">
        <v>39944</v>
      </c>
      <c r="W133" s="695">
        <v>2210.35</v>
      </c>
    </row>
    <row r="134" spans="21:23">
      <c r="U134" s="693">
        <f t="shared" si="2"/>
        <v>39934</v>
      </c>
      <c r="V134" s="694">
        <v>39945</v>
      </c>
      <c r="W134" s="695">
        <v>2220.92</v>
      </c>
    </row>
    <row r="135" spans="21:23">
      <c r="U135" s="693">
        <f t="shared" si="2"/>
        <v>39934</v>
      </c>
      <c r="V135" s="694">
        <v>39946</v>
      </c>
      <c r="W135" s="695">
        <v>2221.4</v>
      </c>
    </row>
    <row r="136" spans="21:23">
      <c r="U136" s="693">
        <f t="shared" si="2"/>
        <v>39934</v>
      </c>
      <c r="V136" s="694">
        <v>39947</v>
      </c>
      <c r="W136" s="695">
        <v>2257.36</v>
      </c>
    </row>
    <row r="137" spans="21:23">
      <c r="U137" s="693">
        <f t="shared" si="2"/>
        <v>39934</v>
      </c>
      <c r="V137" s="694">
        <v>39948</v>
      </c>
      <c r="W137" s="695">
        <v>2251.5300000000002</v>
      </c>
    </row>
    <row r="138" spans="21:23">
      <c r="U138" s="693">
        <f t="shared" si="2"/>
        <v>39934</v>
      </c>
      <c r="V138" s="694">
        <v>39949</v>
      </c>
      <c r="W138" s="695">
        <v>2252.8000000000002</v>
      </c>
    </row>
    <row r="139" spans="21:23">
      <c r="U139" s="693">
        <f t="shared" si="2"/>
        <v>39934</v>
      </c>
      <c r="V139" s="694">
        <v>39950</v>
      </c>
      <c r="W139" s="695">
        <v>2252.8000000000002</v>
      </c>
    </row>
    <row r="140" spans="21:23">
      <c r="U140" s="693">
        <f t="shared" si="2"/>
        <v>39934</v>
      </c>
      <c r="V140" s="694">
        <v>39951</v>
      </c>
      <c r="W140" s="695">
        <v>2252.8000000000002</v>
      </c>
    </row>
    <row r="141" spans="21:23">
      <c r="U141" s="693">
        <f t="shared" si="2"/>
        <v>39934</v>
      </c>
      <c r="V141" s="694">
        <v>39952</v>
      </c>
      <c r="W141" s="695">
        <v>2255.2199999999998</v>
      </c>
    </row>
    <row r="142" spans="21:23">
      <c r="U142" s="693">
        <f t="shared" si="2"/>
        <v>39934</v>
      </c>
      <c r="V142" s="694">
        <v>39953</v>
      </c>
      <c r="W142" s="695">
        <v>2221.27</v>
      </c>
    </row>
    <row r="143" spans="21:23">
      <c r="U143" s="693">
        <f t="shared" si="2"/>
        <v>39934</v>
      </c>
      <c r="V143" s="694">
        <v>39954</v>
      </c>
      <c r="W143" s="695">
        <v>2196.21</v>
      </c>
    </row>
    <row r="144" spans="21:23">
      <c r="U144" s="693">
        <f t="shared" si="2"/>
        <v>39934</v>
      </c>
      <c r="V144" s="694">
        <v>39955</v>
      </c>
      <c r="W144" s="695">
        <v>2206.6</v>
      </c>
    </row>
    <row r="145" spans="21:23">
      <c r="U145" s="693">
        <f t="shared" si="2"/>
        <v>39934</v>
      </c>
      <c r="V145" s="694">
        <v>39956</v>
      </c>
      <c r="W145" s="695">
        <v>2201.44</v>
      </c>
    </row>
    <row r="146" spans="21:23">
      <c r="U146" s="693">
        <f t="shared" si="2"/>
        <v>39934</v>
      </c>
      <c r="V146" s="694">
        <v>39957</v>
      </c>
      <c r="W146" s="695">
        <v>2201.44</v>
      </c>
    </row>
    <row r="147" spans="21:23">
      <c r="U147" s="693">
        <f t="shared" si="2"/>
        <v>39934</v>
      </c>
      <c r="V147" s="694">
        <v>39958</v>
      </c>
      <c r="W147" s="695">
        <v>2201.44</v>
      </c>
    </row>
    <row r="148" spans="21:23">
      <c r="U148" s="693">
        <f t="shared" si="2"/>
        <v>39934</v>
      </c>
      <c r="V148" s="694">
        <v>39959</v>
      </c>
      <c r="W148" s="695">
        <v>2201.44</v>
      </c>
    </row>
    <row r="149" spans="21:23">
      <c r="U149" s="693">
        <f t="shared" si="2"/>
        <v>39934</v>
      </c>
      <c r="V149" s="694">
        <v>39960</v>
      </c>
      <c r="W149" s="695">
        <v>2213.89</v>
      </c>
    </row>
    <row r="150" spans="21:23">
      <c r="U150" s="693">
        <f t="shared" si="2"/>
        <v>39934</v>
      </c>
      <c r="V150" s="694">
        <v>39961</v>
      </c>
      <c r="W150" s="695">
        <v>2208.89</v>
      </c>
    </row>
    <row r="151" spans="21:23">
      <c r="U151" s="693">
        <f t="shared" si="2"/>
        <v>39934</v>
      </c>
      <c r="V151" s="694">
        <v>39962</v>
      </c>
      <c r="W151" s="695">
        <v>2190.4499999999998</v>
      </c>
    </row>
    <row r="152" spans="21:23">
      <c r="U152" s="693">
        <f t="shared" si="2"/>
        <v>39934</v>
      </c>
      <c r="V152" s="694">
        <v>39963</v>
      </c>
      <c r="W152" s="695">
        <v>2140.66</v>
      </c>
    </row>
    <row r="153" spans="21:23">
      <c r="U153" s="693">
        <f t="shared" si="2"/>
        <v>39934</v>
      </c>
      <c r="V153" s="694">
        <v>39964</v>
      </c>
      <c r="W153" s="695">
        <v>2140.66</v>
      </c>
    </row>
    <row r="154" spans="21:23">
      <c r="U154" s="693">
        <f t="shared" si="2"/>
        <v>39965</v>
      </c>
      <c r="V154" s="694">
        <v>39965</v>
      </c>
      <c r="W154" s="695">
        <v>2140.66</v>
      </c>
    </row>
    <row r="155" spans="21:23">
      <c r="U155" s="693">
        <f t="shared" si="2"/>
        <v>39965</v>
      </c>
      <c r="V155" s="694">
        <v>39966</v>
      </c>
      <c r="W155" s="695">
        <v>2109.42</v>
      </c>
    </row>
    <row r="156" spans="21:23">
      <c r="U156" s="693">
        <f t="shared" si="2"/>
        <v>39965</v>
      </c>
      <c r="V156" s="694">
        <v>39967</v>
      </c>
      <c r="W156" s="695">
        <v>2077.02</v>
      </c>
    </row>
    <row r="157" spans="21:23">
      <c r="U157" s="693">
        <f t="shared" si="2"/>
        <v>39965</v>
      </c>
      <c r="V157" s="694">
        <v>39968</v>
      </c>
      <c r="W157" s="695">
        <v>2073.5500000000002</v>
      </c>
    </row>
    <row r="158" spans="21:23">
      <c r="U158" s="693">
        <f t="shared" si="2"/>
        <v>39965</v>
      </c>
      <c r="V158" s="694">
        <v>39969</v>
      </c>
      <c r="W158" s="695">
        <v>2072</v>
      </c>
    </row>
    <row r="159" spans="21:23">
      <c r="U159" s="693">
        <f t="shared" si="2"/>
        <v>39965</v>
      </c>
      <c r="V159" s="694">
        <v>39970</v>
      </c>
      <c r="W159" s="695">
        <v>2063.1</v>
      </c>
    </row>
    <row r="160" spans="21:23">
      <c r="U160" s="693">
        <f t="shared" si="2"/>
        <v>39965</v>
      </c>
      <c r="V160" s="694">
        <v>39971</v>
      </c>
      <c r="W160" s="695">
        <v>2063.1</v>
      </c>
    </row>
    <row r="161" spans="21:23">
      <c r="U161" s="693">
        <f t="shared" si="2"/>
        <v>39965</v>
      </c>
      <c r="V161" s="694">
        <v>39972</v>
      </c>
      <c r="W161" s="695">
        <v>2063.1</v>
      </c>
    </row>
    <row r="162" spans="21:23">
      <c r="U162" s="693">
        <f t="shared" si="2"/>
        <v>39965</v>
      </c>
      <c r="V162" s="694">
        <v>39973</v>
      </c>
      <c r="W162" s="695">
        <v>2091.1</v>
      </c>
    </row>
    <row r="163" spans="21:23">
      <c r="U163" s="693">
        <f t="shared" si="2"/>
        <v>39965</v>
      </c>
      <c r="V163" s="694">
        <v>39974</v>
      </c>
      <c r="W163" s="695">
        <v>2060.1799999999998</v>
      </c>
    </row>
    <row r="164" spans="21:23">
      <c r="U164" s="693">
        <f t="shared" si="2"/>
        <v>39965</v>
      </c>
      <c r="V164" s="694">
        <v>39975</v>
      </c>
      <c r="W164" s="695">
        <v>2042.19</v>
      </c>
    </row>
    <row r="165" spans="21:23">
      <c r="U165" s="693">
        <f t="shared" si="2"/>
        <v>39965</v>
      </c>
      <c r="V165" s="694">
        <v>39976</v>
      </c>
      <c r="W165" s="695">
        <v>2026.17</v>
      </c>
    </row>
    <row r="166" spans="21:23">
      <c r="U166" s="693">
        <f t="shared" si="2"/>
        <v>39965</v>
      </c>
      <c r="V166" s="694">
        <v>39977</v>
      </c>
      <c r="W166" s="695">
        <v>2015.4</v>
      </c>
    </row>
    <row r="167" spans="21:23">
      <c r="U167" s="693">
        <f t="shared" si="2"/>
        <v>39965</v>
      </c>
      <c r="V167" s="694">
        <v>39978</v>
      </c>
      <c r="W167" s="695">
        <v>2015.4</v>
      </c>
    </row>
    <row r="168" spans="21:23">
      <c r="U168" s="693">
        <f t="shared" si="2"/>
        <v>39965</v>
      </c>
      <c r="V168" s="694">
        <v>39979</v>
      </c>
      <c r="W168" s="695">
        <v>2015.4</v>
      </c>
    </row>
    <row r="169" spans="21:23">
      <c r="U169" s="693">
        <f t="shared" si="2"/>
        <v>39965</v>
      </c>
      <c r="V169" s="694">
        <v>39980</v>
      </c>
      <c r="W169" s="695">
        <v>2015.4</v>
      </c>
    </row>
    <row r="170" spans="21:23">
      <c r="U170" s="693">
        <f t="shared" si="2"/>
        <v>39965</v>
      </c>
      <c r="V170" s="694">
        <v>39981</v>
      </c>
      <c r="W170" s="695">
        <v>2014.91</v>
      </c>
    </row>
    <row r="171" spans="21:23">
      <c r="U171" s="693">
        <f t="shared" si="2"/>
        <v>39965</v>
      </c>
      <c r="V171" s="694">
        <v>39982</v>
      </c>
      <c r="W171" s="695">
        <v>2071.29</v>
      </c>
    </row>
    <row r="172" spans="21:23">
      <c r="U172" s="693">
        <f t="shared" si="2"/>
        <v>39965</v>
      </c>
      <c r="V172" s="694">
        <v>39983</v>
      </c>
      <c r="W172" s="695">
        <v>2074.7199999999998</v>
      </c>
    </row>
    <row r="173" spans="21:23">
      <c r="U173" s="693">
        <f t="shared" si="2"/>
        <v>39965</v>
      </c>
      <c r="V173" s="694">
        <v>39984</v>
      </c>
      <c r="W173" s="695">
        <v>2108.1999999999998</v>
      </c>
    </row>
    <row r="174" spans="21:23">
      <c r="U174" s="693">
        <f t="shared" si="2"/>
        <v>39965</v>
      </c>
      <c r="V174" s="694">
        <v>39985</v>
      </c>
      <c r="W174" s="695">
        <v>2108.1999999999998</v>
      </c>
    </row>
    <row r="175" spans="21:23">
      <c r="U175" s="693">
        <f t="shared" si="2"/>
        <v>39965</v>
      </c>
      <c r="V175" s="694">
        <v>39986</v>
      </c>
      <c r="W175" s="695">
        <v>2108.1999999999998</v>
      </c>
    </row>
    <row r="176" spans="21:23">
      <c r="U176" s="693">
        <f t="shared" si="2"/>
        <v>39965</v>
      </c>
      <c r="V176" s="694">
        <v>39987</v>
      </c>
      <c r="W176" s="695">
        <v>2108.1999999999998</v>
      </c>
    </row>
    <row r="177" spans="21:23">
      <c r="U177" s="693">
        <f t="shared" si="2"/>
        <v>39965</v>
      </c>
      <c r="V177" s="694">
        <v>39988</v>
      </c>
      <c r="W177" s="695">
        <v>2165</v>
      </c>
    </row>
    <row r="178" spans="21:23">
      <c r="U178" s="693">
        <f t="shared" si="2"/>
        <v>39965</v>
      </c>
      <c r="V178" s="694">
        <v>39989</v>
      </c>
      <c r="W178" s="695">
        <v>2158.7199999999998</v>
      </c>
    </row>
    <row r="179" spans="21:23">
      <c r="U179" s="693">
        <f t="shared" si="2"/>
        <v>39965</v>
      </c>
      <c r="V179" s="694">
        <v>39990</v>
      </c>
      <c r="W179" s="695">
        <v>2188.5</v>
      </c>
    </row>
    <row r="180" spans="21:23">
      <c r="U180" s="693">
        <f t="shared" si="2"/>
        <v>39965</v>
      </c>
      <c r="V180" s="694">
        <v>39991</v>
      </c>
      <c r="W180" s="695">
        <v>2158.67</v>
      </c>
    </row>
    <row r="181" spans="21:23">
      <c r="U181" s="693">
        <f t="shared" si="2"/>
        <v>39965</v>
      </c>
      <c r="V181" s="694">
        <v>39992</v>
      </c>
      <c r="W181" s="695">
        <v>2158.67</v>
      </c>
    </row>
    <row r="182" spans="21:23">
      <c r="U182" s="693">
        <f t="shared" si="2"/>
        <v>39965</v>
      </c>
      <c r="V182" s="694">
        <v>39993</v>
      </c>
      <c r="W182" s="695">
        <v>2158.67</v>
      </c>
    </row>
    <row r="183" spans="21:23">
      <c r="U183" s="693">
        <f t="shared" si="2"/>
        <v>39965</v>
      </c>
      <c r="V183" s="694">
        <v>39994</v>
      </c>
      <c r="W183" s="695">
        <v>2158.67</v>
      </c>
    </row>
    <row r="184" spans="21:23">
      <c r="U184" s="693">
        <f t="shared" si="2"/>
        <v>39995</v>
      </c>
      <c r="V184" s="694">
        <v>39995</v>
      </c>
      <c r="W184" s="695">
        <v>2145.21</v>
      </c>
    </row>
    <row r="185" spans="21:23">
      <c r="U185" s="693">
        <f t="shared" si="2"/>
        <v>39995</v>
      </c>
      <c r="V185" s="694">
        <v>39996</v>
      </c>
      <c r="W185" s="695">
        <v>2111.71</v>
      </c>
    </row>
    <row r="186" spans="21:23">
      <c r="U186" s="693">
        <f t="shared" si="2"/>
        <v>39995</v>
      </c>
      <c r="V186" s="694">
        <v>39997</v>
      </c>
      <c r="W186" s="695">
        <v>2096.23</v>
      </c>
    </row>
    <row r="187" spans="21:23">
      <c r="U187" s="693">
        <f t="shared" si="2"/>
        <v>39995</v>
      </c>
      <c r="V187" s="694">
        <v>39998</v>
      </c>
      <c r="W187" s="695">
        <v>2086.36</v>
      </c>
    </row>
    <row r="188" spans="21:23">
      <c r="U188" s="693">
        <f t="shared" si="2"/>
        <v>39995</v>
      </c>
      <c r="V188" s="694">
        <v>39999</v>
      </c>
      <c r="W188" s="695">
        <v>2086.36</v>
      </c>
    </row>
    <row r="189" spans="21:23">
      <c r="U189" s="693">
        <f t="shared" si="2"/>
        <v>39995</v>
      </c>
      <c r="V189" s="694">
        <v>40000</v>
      </c>
      <c r="W189" s="695">
        <v>2086.36</v>
      </c>
    </row>
    <row r="190" spans="21:23">
      <c r="U190" s="693">
        <f t="shared" si="2"/>
        <v>39995</v>
      </c>
      <c r="V190" s="694">
        <v>40001</v>
      </c>
      <c r="W190" s="695">
        <v>2109.08</v>
      </c>
    </row>
    <row r="191" spans="21:23">
      <c r="U191" s="693">
        <f t="shared" si="2"/>
        <v>39995</v>
      </c>
      <c r="V191" s="694">
        <v>40002</v>
      </c>
      <c r="W191" s="695">
        <v>2090.35</v>
      </c>
    </row>
    <row r="192" spans="21:23">
      <c r="U192" s="693">
        <f t="shared" si="2"/>
        <v>39995</v>
      </c>
      <c r="V192" s="694">
        <v>40003</v>
      </c>
      <c r="W192" s="695">
        <v>2108.1999999999998</v>
      </c>
    </row>
    <row r="193" spans="21:23">
      <c r="U193" s="693">
        <f t="shared" si="2"/>
        <v>39995</v>
      </c>
      <c r="V193" s="694">
        <v>40004</v>
      </c>
      <c r="W193" s="695">
        <v>2105.36</v>
      </c>
    </row>
    <row r="194" spans="21:23">
      <c r="U194" s="693">
        <f t="shared" si="2"/>
        <v>39995</v>
      </c>
      <c r="V194" s="694">
        <v>40005</v>
      </c>
      <c r="W194" s="695">
        <v>2116.9899999999998</v>
      </c>
    </row>
    <row r="195" spans="21:23">
      <c r="U195" s="693">
        <f t="shared" ref="U195:U258" si="3">+DATE(YEAR(V195),MONTH(V195),1)</f>
        <v>39995</v>
      </c>
      <c r="V195" s="694">
        <v>40006</v>
      </c>
      <c r="W195" s="695">
        <v>2116.9899999999998</v>
      </c>
    </row>
    <row r="196" spans="21:23">
      <c r="U196" s="693">
        <f t="shared" si="3"/>
        <v>39995</v>
      </c>
      <c r="V196" s="694">
        <v>40007</v>
      </c>
      <c r="W196" s="695">
        <v>2116.9899999999998</v>
      </c>
    </row>
    <row r="197" spans="21:23">
      <c r="U197" s="693">
        <f t="shared" si="3"/>
        <v>39995</v>
      </c>
      <c r="V197" s="694">
        <v>40008</v>
      </c>
      <c r="W197" s="695">
        <v>2085.7399999999998</v>
      </c>
    </row>
    <row r="198" spans="21:23">
      <c r="U198" s="693">
        <f t="shared" si="3"/>
        <v>39995</v>
      </c>
      <c r="V198" s="694">
        <v>40009</v>
      </c>
      <c r="W198" s="695">
        <v>2054.19</v>
      </c>
    </row>
    <row r="199" spans="21:23">
      <c r="U199" s="693">
        <f t="shared" si="3"/>
        <v>39995</v>
      </c>
      <c r="V199" s="694">
        <v>40010</v>
      </c>
      <c r="W199" s="695">
        <v>2018.93</v>
      </c>
    </row>
    <row r="200" spans="21:23">
      <c r="U200" s="693">
        <f t="shared" si="3"/>
        <v>39995</v>
      </c>
      <c r="V200" s="694">
        <v>40011</v>
      </c>
      <c r="W200" s="695">
        <v>2025.71</v>
      </c>
    </row>
    <row r="201" spans="21:23">
      <c r="U201" s="693">
        <f t="shared" si="3"/>
        <v>39995</v>
      </c>
      <c r="V201" s="694">
        <v>40012</v>
      </c>
      <c r="W201" s="695">
        <v>2006.82</v>
      </c>
    </row>
    <row r="202" spans="21:23">
      <c r="U202" s="693">
        <f t="shared" si="3"/>
        <v>39995</v>
      </c>
      <c r="V202" s="694">
        <v>40013</v>
      </c>
      <c r="W202" s="695">
        <v>2006.82</v>
      </c>
    </row>
    <row r="203" spans="21:23">
      <c r="U203" s="693">
        <f t="shared" si="3"/>
        <v>39995</v>
      </c>
      <c r="V203" s="694">
        <v>40014</v>
      </c>
      <c r="W203" s="695">
        <v>2006.82</v>
      </c>
    </row>
    <row r="204" spans="21:23">
      <c r="U204" s="693">
        <f t="shared" si="3"/>
        <v>39995</v>
      </c>
      <c r="V204" s="694">
        <v>40015</v>
      </c>
      <c r="W204" s="695">
        <v>2006.82</v>
      </c>
    </row>
    <row r="205" spans="21:23">
      <c r="U205" s="693">
        <f t="shared" si="3"/>
        <v>39995</v>
      </c>
      <c r="V205" s="694">
        <v>40016</v>
      </c>
      <c r="W205" s="695">
        <v>1986.35</v>
      </c>
    </row>
    <row r="206" spans="21:23">
      <c r="U206" s="693">
        <f t="shared" si="3"/>
        <v>39995</v>
      </c>
      <c r="V206" s="694">
        <v>40017</v>
      </c>
      <c r="W206" s="695">
        <v>1975.05</v>
      </c>
    </row>
    <row r="207" spans="21:23">
      <c r="U207" s="693">
        <f t="shared" si="3"/>
        <v>39995</v>
      </c>
      <c r="V207" s="694">
        <v>40018</v>
      </c>
      <c r="W207" s="695">
        <v>1953.12</v>
      </c>
    </row>
    <row r="208" spans="21:23">
      <c r="U208" s="693">
        <f t="shared" si="3"/>
        <v>39995</v>
      </c>
      <c r="V208" s="694">
        <v>40019</v>
      </c>
      <c r="W208" s="695">
        <v>1970.11</v>
      </c>
    </row>
    <row r="209" spans="21:23">
      <c r="U209" s="693">
        <f t="shared" si="3"/>
        <v>39995</v>
      </c>
      <c r="V209" s="694">
        <v>40020</v>
      </c>
      <c r="W209" s="695">
        <v>1970.11</v>
      </c>
    </row>
    <row r="210" spans="21:23">
      <c r="U210" s="693">
        <f t="shared" si="3"/>
        <v>39995</v>
      </c>
      <c r="V210" s="694">
        <v>40021</v>
      </c>
      <c r="W210" s="695">
        <v>1970.11</v>
      </c>
    </row>
    <row r="211" spans="21:23">
      <c r="U211" s="693">
        <f t="shared" si="3"/>
        <v>39995</v>
      </c>
      <c r="V211" s="694">
        <v>40022</v>
      </c>
      <c r="W211" s="695">
        <v>1982.43</v>
      </c>
    </row>
    <row r="212" spans="21:23">
      <c r="U212" s="693">
        <f t="shared" si="3"/>
        <v>39995</v>
      </c>
      <c r="V212" s="694">
        <v>40023</v>
      </c>
      <c r="W212" s="695">
        <v>2013.82</v>
      </c>
    </row>
    <row r="213" spans="21:23">
      <c r="U213" s="693">
        <f t="shared" si="3"/>
        <v>39995</v>
      </c>
      <c r="V213" s="694">
        <v>40024</v>
      </c>
      <c r="W213" s="695">
        <v>2073.92</v>
      </c>
    </row>
    <row r="214" spans="21:23">
      <c r="U214" s="693">
        <f t="shared" si="3"/>
        <v>39995</v>
      </c>
      <c r="V214" s="694">
        <v>40025</v>
      </c>
      <c r="W214" s="695">
        <v>2043.37</v>
      </c>
    </row>
    <row r="215" spans="21:23">
      <c r="U215" s="693">
        <f t="shared" si="3"/>
        <v>40026</v>
      </c>
      <c r="V215" s="694">
        <v>40026</v>
      </c>
      <c r="W215" s="695">
        <v>2040.95</v>
      </c>
    </row>
    <row r="216" spans="21:23">
      <c r="U216" s="693">
        <f t="shared" si="3"/>
        <v>40026</v>
      </c>
      <c r="V216" s="694">
        <v>40027</v>
      </c>
      <c r="W216" s="695">
        <v>2040.95</v>
      </c>
    </row>
    <row r="217" spans="21:23">
      <c r="U217" s="693">
        <f t="shared" si="3"/>
        <v>40026</v>
      </c>
      <c r="V217" s="694">
        <v>40028</v>
      </c>
      <c r="W217" s="695">
        <v>2040.95</v>
      </c>
    </row>
    <row r="218" spans="21:23">
      <c r="U218" s="693">
        <f t="shared" si="3"/>
        <v>40026</v>
      </c>
      <c r="V218" s="694">
        <v>40029</v>
      </c>
      <c r="W218" s="695">
        <v>2008.96</v>
      </c>
    </row>
    <row r="219" spans="21:23">
      <c r="U219" s="693">
        <f t="shared" si="3"/>
        <v>40026</v>
      </c>
      <c r="V219" s="694">
        <v>40030</v>
      </c>
      <c r="W219" s="695">
        <v>1992.98</v>
      </c>
    </row>
    <row r="220" spans="21:23">
      <c r="U220" s="693">
        <f t="shared" si="3"/>
        <v>40026</v>
      </c>
      <c r="V220" s="694">
        <v>40031</v>
      </c>
      <c r="W220" s="695">
        <v>1987.84</v>
      </c>
    </row>
    <row r="221" spans="21:23">
      <c r="U221" s="693">
        <f t="shared" si="3"/>
        <v>40026</v>
      </c>
      <c r="V221" s="694">
        <v>40032</v>
      </c>
      <c r="W221" s="695">
        <v>1997.01</v>
      </c>
    </row>
    <row r="222" spans="21:23">
      <c r="U222" s="693">
        <f t="shared" si="3"/>
        <v>40026</v>
      </c>
      <c r="V222" s="694">
        <v>40033</v>
      </c>
      <c r="W222" s="695">
        <v>1997.01</v>
      </c>
    </row>
    <row r="223" spans="21:23">
      <c r="U223" s="693">
        <f t="shared" si="3"/>
        <v>40026</v>
      </c>
      <c r="V223" s="694">
        <v>40034</v>
      </c>
      <c r="W223" s="695">
        <v>1997.01</v>
      </c>
    </row>
    <row r="224" spans="21:23">
      <c r="U224" s="693">
        <f t="shared" si="3"/>
        <v>40026</v>
      </c>
      <c r="V224" s="694">
        <v>40035</v>
      </c>
      <c r="W224" s="695">
        <v>1997.01</v>
      </c>
    </row>
    <row r="225" spans="21:23">
      <c r="U225" s="693">
        <f t="shared" si="3"/>
        <v>40026</v>
      </c>
      <c r="V225" s="694">
        <v>40036</v>
      </c>
      <c r="W225" s="695">
        <v>2022.56</v>
      </c>
    </row>
    <row r="226" spans="21:23">
      <c r="U226" s="693">
        <f t="shared" si="3"/>
        <v>40026</v>
      </c>
      <c r="V226" s="694">
        <v>40037</v>
      </c>
      <c r="W226" s="695">
        <v>2050.4499999999998</v>
      </c>
    </row>
    <row r="227" spans="21:23">
      <c r="U227" s="693">
        <f t="shared" si="3"/>
        <v>40026</v>
      </c>
      <c r="V227" s="694">
        <v>40038</v>
      </c>
      <c r="W227" s="695">
        <v>2026.45</v>
      </c>
    </row>
    <row r="228" spans="21:23">
      <c r="U228" s="693">
        <f t="shared" si="3"/>
        <v>40026</v>
      </c>
      <c r="V228" s="694">
        <v>40039</v>
      </c>
      <c r="W228" s="695">
        <v>1999.98</v>
      </c>
    </row>
    <row r="229" spans="21:23">
      <c r="U229" s="693">
        <f t="shared" si="3"/>
        <v>40026</v>
      </c>
      <c r="V229" s="694">
        <v>40040</v>
      </c>
      <c r="W229" s="695">
        <v>2016.09</v>
      </c>
    </row>
    <row r="230" spans="21:23">
      <c r="U230" s="693">
        <f t="shared" si="3"/>
        <v>40026</v>
      </c>
      <c r="V230" s="694">
        <v>40041</v>
      </c>
      <c r="W230" s="695">
        <v>2016.09</v>
      </c>
    </row>
    <row r="231" spans="21:23">
      <c r="U231" s="693">
        <f t="shared" si="3"/>
        <v>40026</v>
      </c>
      <c r="V231" s="694">
        <v>40042</v>
      </c>
      <c r="W231" s="695">
        <v>2016.09</v>
      </c>
    </row>
    <row r="232" spans="21:23">
      <c r="U232" s="693">
        <f t="shared" si="3"/>
        <v>40026</v>
      </c>
      <c r="V232" s="694">
        <v>40043</v>
      </c>
      <c r="W232" s="695">
        <v>2016.09</v>
      </c>
    </row>
    <row r="233" spans="21:23">
      <c r="U233" s="693">
        <f t="shared" si="3"/>
        <v>40026</v>
      </c>
      <c r="V233" s="694">
        <v>40044</v>
      </c>
      <c r="W233" s="695">
        <v>2037.1</v>
      </c>
    </row>
    <row r="234" spans="21:23">
      <c r="U234" s="693">
        <f t="shared" si="3"/>
        <v>40026</v>
      </c>
      <c r="V234" s="694">
        <v>40045</v>
      </c>
      <c r="W234" s="695">
        <v>2041.91</v>
      </c>
    </row>
    <row r="235" spans="21:23">
      <c r="U235" s="693">
        <f t="shared" si="3"/>
        <v>40026</v>
      </c>
      <c r="V235" s="694">
        <v>40046</v>
      </c>
      <c r="W235" s="695">
        <v>2012.67</v>
      </c>
    </row>
    <row r="236" spans="21:23">
      <c r="U236" s="693">
        <f t="shared" si="3"/>
        <v>40026</v>
      </c>
      <c r="V236" s="694">
        <v>40047</v>
      </c>
      <c r="W236" s="695">
        <v>1997.31</v>
      </c>
    </row>
    <row r="237" spans="21:23">
      <c r="U237" s="693">
        <f t="shared" si="3"/>
        <v>40026</v>
      </c>
      <c r="V237" s="694">
        <v>40048</v>
      </c>
      <c r="W237" s="695">
        <v>1997.31</v>
      </c>
    </row>
    <row r="238" spans="21:23">
      <c r="U238" s="693">
        <f t="shared" si="3"/>
        <v>40026</v>
      </c>
      <c r="V238" s="694">
        <v>40049</v>
      </c>
      <c r="W238" s="695">
        <v>1997.31</v>
      </c>
    </row>
    <row r="239" spans="21:23">
      <c r="U239" s="693">
        <f t="shared" si="3"/>
        <v>40026</v>
      </c>
      <c r="V239" s="694">
        <v>40050</v>
      </c>
      <c r="W239" s="695">
        <v>1997.44</v>
      </c>
    </row>
    <row r="240" spans="21:23">
      <c r="U240" s="693">
        <f t="shared" si="3"/>
        <v>40026</v>
      </c>
      <c r="V240" s="694">
        <v>40051</v>
      </c>
      <c r="W240" s="695">
        <v>2007.2</v>
      </c>
    </row>
    <row r="241" spans="21:23">
      <c r="U241" s="693">
        <f t="shared" si="3"/>
        <v>40026</v>
      </c>
      <c r="V241" s="694">
        <v>40052</v>
      </c>
      <c r="W241" s="695">
        <v>2044.79</v>
      </c>
    </row>
    <row r="242" spans="21:23">
      <c r="U242" s="693">
        <f t="shared" si="3"/>
        <v>40026</v>
      </c>
      <c r="V242" s="694">
        <v>40053</v>
      </c>
      <c r="W242" s="695">
        <v>2043.65</v>
      </c>
    </row>
    <row r="243" spans="21:23">
      <c r="U243" s="693">
        <f t="shared" si="3"/>
        <v>40026</v>
      </c>
      <c r="V243" s="694">
        <v>40054</v>
      </c>
      <c r="W243" s="695">
        <v>2035</v>
      </c>
    </row>
    <row r="244" spans="21:23">
      <c r="U244" s="693">
        <f t="shared" si="3"/>
        <v>40026</v>
      </c>
      <c r="V244" s="694">
        <v>40055</v>
      </c>
      <c r="W244" s="695">
        <v>2035</v>
      </c>
    </row>
    <row r="245" spans="21:23">
      <c r="U245" s="693">
        <f t="shared" si="3"/>
        <v>40026</v>
      </c>
      <c r="V245" s="694">
        <v>40056</v>
      </c>
      <c r="W245" s="695">
        <v>2035</v>
      </c>
    </row>
    <row r="246" spans="21:23">
      <c r="U246" s="693">
        <f t="shared" si="3"/>
        <v>40057</v>
      </c>
      <c r="V246" s="694">
        <v>40057</v>
      </c>
      <c r="W246" s="695">
        <v>2057.81</v>
      </c>
    </row>
    <row r="247" spans="21:23">
      <c r="U247" s="693">
        <f t="shared" si="3"/>
        <v>40057</v>
      </c>
      <c r="V247" s="694">
        <v>40058</v>
      </c>
      <c r="W247" s="695">
        <v>2068.96</v>
      </c>
    </row>
    <row r="248" spans="21:23">
      <c r="U248" s="693">
        <f t="shared" si="3"/>
        <v>40057</v>
      </c>
      <c r="V248" s="694">
        <v>40059</v>
      </c>
      <c r="W248" s="695">
        <v>2065.73</v>
      </c>
    </row>
    <row r="249" spans="21:23">
      <c r="U249" s="693">
        <f t="shared" si="3"/>
        <v>40057</v>
      </c>
      <c r="V249" s="694">
        <v>40060</v>
      </c>
      <c r="W249" s="695">
        <v>2029.75</v>
      </c>
    </row>
    <row r="250" spans="21:23">
      <c r="U250" s="693">
        <f t="shared" si="3"/>
        <v>40057</v>
      </c>
      <c r="V250" s="694">
        <v>40061</v>
      </c>
      <c r="W250" s="695">
        <v>2018.72</v>
      </c>
    </row>
    <row r="251" spans="21:23">
      <c r="U251" s="693">
        <f t="shared" si="3"/>
        <v>40057</v>
      </c>
      <c r="V251" s="694">
        <v>40062</v>
      </c>
      <c r="W251" s="695">
        <v>2018.72</v>
      </c>
    </row>
    <row r="252" spans="21:23">
      <c r="U252" s="693">
        <f t="shared" si="3"/>
        <v>40057</v>
      </c>
      <c r="V252" s="694">
        <v>40063</v>
      </c>
      <c r="W252" s="695">
        <v>2018.72</v>
      </c>
    </row>
    <row r="253" spans="21:23">
      <c r="U253" s="693">
        <f t="shared" si="3"/>
        <v>40057</v>
      </c>
      <c r="V253" s="694">
        <v>40064</v>
      </c>
      <c r="W253" s="695">
        <v>2018.72</v>
      </c>
    </row>
    <row r="254" spans="21:23">
      <c r="U254" s="693">
        <f t="shared" si="3"/>
        <v>40057</v>
      </c>
      <c r="V254" s="694">
        <v>40065</v>
      </c>
      <c r="W254" s="695">
        <v>1994.44</v>
      </c>
    </row>
    <row r="255" spans="21:23">
      <c r="U255" s="693">
        <f t="shared" si="3"/>
        <v>40057</v>
      </c>
      <c r="V255" s="694">
        <v>40066</v>
      </c>
      <c r="W255" s="695">
        <v>1998.17</v>
      </c>
    </row>
    <row r="256" spans="21:23">
      <c r="U256" s="693">
        <f t="shared" si="3"/>
        <v>40057</v>
      </c>
      <c r="V256" s="694">
        <v>40067</v>
      </c>
      <c r="W256" s="695">
        <v>2008.95</v>
      </c>
    </row>
    <row r="257" spans="21:23">
      <c r="U257" s="693">
        <f t="shared" si="3"/>
        <v>40057</v>
      </c>
      <c r="V257" s="694">
        <v>40068</v>
      </c>
      <c r="W257" s="695">
        <v>1985.38</v>
      </c>
    </row>
    <row r="258" spans="21:23">
      <c r="U258" s="693">
        <f t="shared" si="3"/>
        <v>40057</v>
      </c>
      <c r="V258" s="694">
        <v>40069</v>
      </c>
      <c r="W258" s="695">
        <v>1985.38</v>
      </c>
    </row>
    <row r="259" spans="21:23">
      <c r="U259" s="693">
        <f t="shared" ref="U259:U322" si="4">+DATE(YEAR(V259),MONTH(V259),1)</f>
        <v>40057</v>
      </c>
      <c r="V259" s="694">
        <v>40070</v>
      </c>
      <c r="W259" s="695">
        <v>1985.38</v>
      </c>
    </row>
    <row r="260" spans="21:23">
      <c r="U260" s="693">
        <f t="shared" si="4"/>
        <v>40057</v>
      </c>
      <c r="V260" s="694">
        <v>40071</v>
      </c>
      <c r="W260" s="695">
        <v>1998.99</v>
      </c>
    </row>
    <row r="261" spans="21:23">
      <c r="U261" s="693">
        <f t="shared" si="4"/>
        <v>40057</v>
      </c>
      <c r="V261" s="694">
        <v>40072</v>
      </c>
      <c r="W261" s="695">
        <v>1986.86</v>
      </c>
    </row>
    <row r="262" spans="21:23">
      <c r="U262" s="693">
        <f t="shared" si="4"/>
        <v>40057</v>
      </c>
      <c r="V262" s="694">
        <v>40073</v>
      </c>
      <c r="W262" s="695">
        <v>1960.76</v>
      </c>
    </row>
    <row r="263" spans="21:23">
      <c r="U263" s="693">
        <f t="shared" si="4"/>
        <v>40057</v>
      </c>
      <c r="V263" s="694">
        <v>40074</v>
      </c>
      <c r="W263" s="695">
        <v>1962.6</v>
      </c>
    </row>
    <row r="264" spans="21:23">
      <c r="U264" s="693">
        <f t="shared" si="4"/>
        <v>40057</v>
      </c>
      <c r="V264" s="694">
        <v>40075</v>
      </c>
      <c r="W264" s="695">
        <v>1951.38</v>
      </c>
    </row>
    <row r="265" spans="21:23">
      <c r="U265" s="693">
        <f t="shared" si="4"/>
        <v>40057</v>
      </c>
      <c r="V265" s="694">
        <v>40076</v>
      </c>
      <c r="W265" s="695">
        <v>1951.38</v>
      </c>
    </row>
    <row r="266" spans="21:23">
      <c r="U266" s="693">
        <f t="shared" si="4"/>
        <v>40057</v>
      </c>
      <c r="V266" s="694">
        <v>40077</v>
      </c>
      <c r="W266" s="695">
        <v>1951.38</v>
      </c>
    </row>
    <row r="267" spans="21:23">
      <c r="U267" s="693">
        <f t="shared" si="4"/>
        <v>40057</v>
      </c>
      <c r="V267" s="694">
        <v>40078</v>
      </c>
      <c r="W267" s="695">
        <v>1950.77</v>
      </c>
    </row>
    <row r="268" spans="21:23">
      <c r="U268" s="693">
        <f t="shared" si="4"/>
        <v>40057</v>
      </c>
      <c r="V268" s="694">
        <v>40079</v>
      </c>
      <c r="W268" s="695">
        <v>1914.47</v>
      </c>
    </row>
    <row r="269" spans="21:23">
      <c r="U269" s="693">
        <f t="shared" si="4"/>
        <v>40057</v>
      </c>
      <c r="V269" s="694">
        <v>40080</v>
      </c>
      <c r="W269" s="695">
        <v>1911.66</v>
      </c>
    </row>
    <row r="270" spans="21:23">
      <c r="U270" s="693">
        <f t="shared" si="4"/>
        <v>40057</v>
      </c>
      <c r="V270" s="694">
        <v>40081</v>
      </c>
      <c r="W270" s="695">
        <v>1922.5</v>
      </c>
    </row>
    <row r="271" spans="21:23">
      <c r="U271" s="693">
        <f t="shared" si="4"/>
        <v>40057</v>
      </c>
      <c r="V271" s="694">
        <v>40082</v>
      </c>
      <c r="W271" s="695">
        <v>1926.59</v>
      </c>
    </row>
    <row r="272" spans="21:23">
      <c r="U272" s="693">
        <f t="shared" si="4"/>
        <v>40057</v>
      </c>
      <c r="V272" s="694">
        <v>40083</v>
      </c>
      <c r="W272" s="695">
        <v>1926.59</v>
      </c>
    </row>
    <row r="273" spans="21:23">
      <c r="U273" s="693">
        <f t="shared" si="4"/>
        <v>40057</v>
      </c>
      <c r="V273" s="694">
        <v>40084</v>
      </c>
      <c r="W273" s="695">
        <v>1926.59</v>
      </c>
    </row>
    <row r="274" spans="21:23">
      <c r="U274" s="693">
        <f t="shared" si="4"/>
        <v>40057</v>
      </c>
      <c r="V274" s="694">
        <v>40085</v>
      </c>
      <c r="W274" s="695">
        <v>1921.64</v>
      </c>
    </row>
    <row r="275" spans="21:23">
      <c r="U275" s="693">
        <f t="shared" si="4"/>
        <v>40057</v>
      </c>
      <c r="V275" s="694">
        <v>40086</v>
      </c>
      <c r="W275" s="695">
        <v>1922</v>
      </c>
    </row>
    <row r="276" spans="21:23">
      <c r="U276" s="693">
        <f t="shared" si="4"/>
        <v>40087</v>
      </c>
      <c r="V276" s="694">
        <v>40087</v>
      </c>
      <c r="W276" s="695">
        <v>1925.49</v>
      </c>
    </row>
    <row r="277" spans="21:23">
      <c r="U277" s="693">
        <f t="shared" si="4"/>
        <v>40087</v>
      </c>
      <c r="V277" s="694">
        <v>40088</v>
      </c>
      <c r="W277" s="695">
        <v>1918.87</v>
      </c>
    </row>
    <row r="278" spans="21:23">
      <c r="U278" s="693">
        <f t="shared" si="4"/>
        <v>40087</v>
      </c>
      <c r="V278" s="694">
        <v>40089</v>
      </c>
      <c r="W278" s="695">
        <v>1919.75</v>
      </c>
    </row>
    <row r="279" spans="21:23">
      <c r="U279" s="693">
        <f t="shared" si="4"/>
        <v>40087</v>
      </c>
      <c r="V279" s="694">
        <v>40090</v>
      </c>
      <c r="W279" s="695">
        <v>1919.75</v>
      </c>
    </row>
    <row r="280" spans="21:23">
      <c r="U280" s="693">
        <f t="shared" si="4"/>
        <v>40087</v>
      </c>
      <c r="V280" s="694">
        <v>40091</v>
      </c>
      <c r="W280" s="695">
        <v>1919.75</v>
      </c>
    </row>
    <row r="281" spans="21:23">
      <c r="U281" s="693">
        <f t="shared" si="4"/>
        <v>40087</v>
      </c>
      <c r="V281" s="694">
        <v>40092</v>
      </c>
      <c r="W281" s="695">
        <v>1925.57</v>
      </c>
    </row>
    <row r="282" spans="21:23">
      <c r="U282" s="693">
        <f t="shared" si="4"/>
        <v>40087</v>
      </c>
      <c r="V282" s="694">
        <v>40093</v>
      </c>
      <c r="W282" s="695">
        <v>1906.59</v>
      </c>
    </row>
    <row r="283" spans="21:23">
      <c r="U283" s="693">
        <f t="shared" si="4"/>
        <v>40087</v>
      </c>
      <c r="V283" s="694">
        <v>40094</v>
      </c>
      <c r="W283" s="695">
        <v>1897.31</v>
      </c>
    </row>
    <row r="284" spans="21:23">
      <c r="U284" s="693">
        <f t="shared" si="4"/>
        <v>40087</v>
      </c>
      <c r="V284" s="694">
        <v>40095</v>
      </c>
      <c r="W284" s="695">
        <v>1870.96</v>
      </c>
    </row>
    <row r="285" spans="21:23">
      <c r="U285" s="693">
        <f t="shared" si="4"/>
        <v>40087</v>
      </c>
      <c r="V285" s="694">
        <v>40096</v>
      </c>
      <c r="W285" s="695">
        <v>1857.21</v>
      </c>
    </row>
    <row r="286" spans="21:23">
      <c r="U286" s="693">
        <f t="shared" si="4"/>
        <v>40087</v>
      </c>
      <c r="V286" s="694">
        <v>40097</v>
      </c>
      <c r="W286" s="695">
        <v>1857.21</v>
      </c>
    </row>
    <row r="287" spans="21:23">
      <c r="U287" s="693">
        <f t="shared" si="4"/>
        <v>40087</v>
      </c>
      <c r="V287" s="694">
        <v>40098</v>
      </c>
      <c r="W287" s="695">
        <v>1857.21</v>
      </c>
    </row>
    <row r="288" spans="21:23">
      <c r="U288" s="693">
        <f t="shared" si="4"/>
        <v>40087</v>
      </c>
      <c r="V288" s="694">
        <v>40099</v>
      </c>
      <c r="W288" s="695">
        <v>1857.21</v>
      </c>
    </row>
    <row r="289" spans="21:23">
      <c r="U289" s="693">
        <f t="shared" si="4"/>
        <v>40087</v>
      </c>
      <c r="V289" s="694">
        <v>40100</v>
      </c>
      <c r="W289" s="695">
        <v>1825.68</v>
      </c>
    </row>
    <row r="290" spans="21:23">
      <c r="U290" s="693">
        <f t="shared" si="4"/>
        <v>40087</v>
      </c>
      <c r="V290" s="694">
        <v>40101</v>
      </c>
      <c r="W290" s="695">
        <v>1830.38</v>
      </c>
    </row>
    <row r="291" spans="21:23">
      <c r="U291" s="693">
        <f t="shared" si="4"/>
        <v>40087</v>
      </c>
      <c r="V291" s="694">
        <v>40102</v>
      </c>
      <c r="W291" s="695">
        <v>1838.26</v>
      </c>
    </row>
    <row r="292" spans="21:23">
      <c r="U292" s="693">
        <f t="shared" si="4"/>
        <v>40087</v>
      </c>
      <c r="V292" s="694">
        <v>40103</v>
      </c>
      <c r="W292" s="695">
        <v>1843.81</v>
      </c>
    </row>
    <row r="293" spans="21:23">
      <c r="U293" s="693">
        <f t="shared" si="4"/>
        <v>40087</v>
      </c>
      <c r="V293" s="694">
        <v>40104</v>
      </c>
      <c r="W293" s="695">
        <v>1843.81</v>
      </c>
    </row>
    <row r="294" spans="21:23">
      <c r="U294" s="693">
        <f t="shared" si="4"/>
        <v>40087</v>
      </c>
      <c r="V294" s="694">
        <v>40105</v>
      </c>
      <c r="W294" s="695">
        <v>1843.81</v>
      </c>
    </row>
    <row r="295" spans="21:23">
      <c r="U295" s="693">
        <f t="shared" si="4"/>
        <v>40087</v>
      </c>
      <c r="V295" s="694">
        <v>40106</v>
      </c>
      <c r="W295" s="695">
        <v>1858.4</v>
      </c>
    </row>
    <row r="296" spans="21:23">
      <c r="U296" s="693">
        <f t="shared" si="4"/>
        <v>40087</v>
      </c>
      <c r="V296" s="694">
        <v>40107</v>
      </c>
      <c r="W296" s="695">
        <v>1913.98</v>
      </c>
    </row>
    <row r="297" spans="21:23">
      <c r="U297" s="693">
        <f t="shared" si="4"/>
        <v>40087</v>
      </c>
      <c r="V297" s="694">
        <v>40108</v>
      </c>
      <c r="W297" s="695">
        <v>1910.04</v>
      </c>
    </row>
    <row r="298" spans="21:23">
      <c r="U298" s="693">
        <f t="shared" si="4"/>
        <v>40087</v>
      </c>
      <c r="V298" s="694">
        <v>40109</v>
      </c>
      <c r="W298" s="695">
        <v>1914.89</v>
      </c>
    </row>
    <row r="299" spans="21:23">
      <c r="U299" s="693">
        <f t="shared" si="4"/>
        <v>40087</v>
      </c>
      <c r="V299" s="694">
        <v>40110</v>
      </c>
      <c r="W299" s="695">
        <v>1924.35</v>
      </c>
    </row>
    <row r="300" spans="21:23">
      <c r="U300" s="693">
        <f t="shared" si="4"/>
        <v>40087</v>
      </c>
      <c r="V300" s="694">
        <v>40111</v>
      </c>
      <c r="W300" s="695">
        <v>1924.35</v>
      </c>
    </row>
    <row r="301" spans="21:23">
      <c r="U301" s="693">
        <f t="shared" si="4"/>
        <v>40087</v>
      </c>
      <c r="V301" s="694">
        <v>40112</v>
      </c>
      <c r="W301" s="695">
        <v>1924.35</v>
      </c>
    </row>
    <row r="302" spans="21:23">
      <c r="U302" s="693">
        <f t="shared" si="4"/>
        <v>40087</v>
      </c>
      <c r="V302" s="694">
        <v>40113</v>
      </c>
      <c r="W302" s="695">
        <v>1932.81</v>
      </c>
    </row>
    <row r="303" spans="21:23">
      <c r="U303" s="693">
        <f t="shared" si="4"/>
        <v>40087</v>
      </c>
      <c r="V303" s="694">
        <v>40114</v>
      </c>
      <c r="W303" s="695">
        <v>1977.26</v>
      </c>
    </row>
    <row r="304" spans="21:23">
      <c r="U304" s="693">
        <f t="shared" si="4"/>
        <v>40087</v>
      </c>
      <c r="V304" s="694">
        <v>40115</v>
      </c>
      <c r="W304" s="695">
        <v>2006.18</v>
      </c>
    </row>
    <row r="305" spans="21:23">
      <c r="U305" s="693">
        <f t="shared" si="4"/>
        <v>40087</v>
      </c>
      <c r="V305" s="694">
        <v>40116</v>
      </c>
      <c r="W305" s="695">
        <v>2004.37</v>
      </c>
    </row>
    <row r="306" spans="21:23">
      <c r="U306" s="693">
        <f t="shared" si="4"/>
        <v>40087</v>
      </c>
      <c r="V306" s="694">
        <v>40117</v>
      </c>
      <c r="W306" s="695">
        <v>1993.8</v>
      </c>
    </row>
    <row r="307" spans="21:23">
      <c r="U307" s="693">
        <f t="shared" si="4"/>
        <v>40118</v>
      </c>
      <c r="V307" s="694">
        <v>40118</v>
      </c>
      <c r="W307" s="695">
        <v>1993.8</v>
      </c>
    </row>
    <row r="308" spans="21:23">
      <c r="U308" s="693">
        <f t="shared" si="4"/>
        <v>40118</v>
      </c>
      <c r="V308" s="694">
        <v>40119</v>
      </c>
      <c r="W308" s="695">
        <v>1993.8</v>
      </c>
    </row>
    <row r="309" spans="21:23">
      <c r="U309" s="693">
        <f t="shared" si="4"/>
        <v>40118</v>
      </c>
      <c r="V309" s="694">
        <v>40120</v>
      </c>
      <c r="W309" s="695">
        <v>1993.8</v>
      </c>
    </row>
    <row r="310" spans="21:23">
      <c r="U310" s="693">
        <f t="shared" si="4"/>
        <v>40118</v>
      </c>
      <c r="V310" s="694">
        <v>40121</v>
      </c>
      <c r="W310" s="695">
        <v>2008.72</v>
      </c>
    </row>
    <row r="311" spans="21:23">
      <c r="U311" s="693">
        <f t="shared" si="4"/>
        <v>40118</v>
      </c>
      <c r="V311" s="694">
        <v>40122</v>
      </c>
      <c r="W311" s="695">
        <v>1963.7</v>
      </c>
    </row>
    <row r="312" spans="21:23">
      <c r="U312" s="693">
        <f t="shared" si="4"/>
        <v>40118</v>
      </c>
      <c r="V312" s="694">
        <v>40123</v>
      </c>
      <c r="W312" s="695">
        <v>1958.24</v>
      </c>
    </row>
    <row r="313" spans="21:23">
      <c r="U313" s="693">
        <f t="shared" si="4"/>
        <v>40118</v>
      </c>
      <c r="V313" s="694">
        <v>40124</v>
      </c>
      <c r="W313" s="695">
        <v>1981.61</v>
      </c>
    </row>
    <row r="314" spans="21:23">
      <c r="U314" s="693">
        <f t="shared" si="4"/>
        <v>40118</v>
      </c>
      <c r="V314" s="694">
        <v>40125</v>
      </c>
      <c r="W314" s="695">
        <v>1981.61</v>
      </c>
    </row>
    <row r="315" spans="21:23">
      <c r="U315" s="693">
        <f t="shared" si="4"/>
        <v>40118</v>
      </c>
      <c r="V315" s="694">
        <v>40126</v>
      </c>
      <c r="W315" s="695">
        <v>1981.61</v>
      </c>
    </row>
    <row r="316" spans="21:23">
      <c r="U316" s="693">
        <f t="shared" si="4"/>
        <v>40118</v>
      </c>
      <c r="V316" s="694">
        <v>40127</v>
      </c>
      <c r="W316" s="695">
        <v>1968.45</v>
      </c>
    </row>
    <row r="317" spans="21:23">
      <c r="U317" s="693">
        <f t="shared" si="4"/>
        <v>40118</v>
      </c>
      <c r="V317" s="694">
        <v>40128</v>
      </c>
      <c r="W317" s="695">
        <v>1969.52</v>
      </c>
    </row>
    <row r="318" spans="21:23">
      <c r="U318" s="693">
        <f t="shared" si="4"/>
        <v>40118</v>
      </c>
      <c r="V318" s="694">
        <v>40129</v>
      </c>
      <c r="W318" s="695">
        <v>1969.52</v>
      </c>
    </row>
    <row r="319" spans="21:23">
      <c r="U319" s="693">
        <f t="shared" si="4"/>
        <v>40118</v>
      </c>
      <c r="V319" s="694">
        <v>40130</v>
      </c>
      <c r="W319" s="695">
        <v>1976.89</v>
      </c>
    </row>
    <row r="320" spans="21:23">
      <c r="U320" s="693">
        <f t="shared" si="4"/>
        <v>40118</v>
      </c>
      <c r="V320" s="694">
        <v>40131</v>
      </c>
      <c r="W320" s="695">
        <v>1971.27</v>
      </c>
    </row>
    <row r="321" spans="21:23">
      <c r="U321" s="693">
        <f t="shared" si="4"/>
        <v>40118</v>
      </c>
      <c r="V321" s="694">
        <v>40132</v>
      </c>
      <c r="W321" s="695">
        <v>1971.27</v>
      </c>
    </row>
    <row r="322" spans="21:23">
      <c r="U322" s="693">
        <f t="shared" si="4"/>
        <v>40118</v>
      </c>
      <c r="V322" s="694">
        <v>40133</v>
      </c>
      <c r="W322" s="695">
        <v>1971.27</v>
      </c>
    </row>
    <row r="323" spans="21:23">
      <c r="U323" s="693">
        <f t="shared" ref="U323:U386" si="5">+DATE(YEAR(V323),MONTH(V323),1)</f>
        <v>40118</v>
      </c>
      <c r="V323" s="694">
        <v>40134</v>
      </c>
      <c r="W323" s="695">
        <v>1971.27</v>
      </c>
    </row>
    <row r="324" spans="21:23">
      <c r="U324" s="693">
        <f t="shared" si="5"/>
        <v>40118</v>
      </c>
      <c r="V324" s="694">
        <v>40135</v>
      </c>
      <c r="W324" s="695">
        <v>1966.22</v>
      </c>
    </row>
    <row r="325" spans="21:23">
      <c r="U325" s="693">
        <f t="shared" si="5"/>
        <v>40118</v>
      </c>
      <c r="V325" s="694">
        <v>40136</v>
      </c>
      <c r="W325" s="695">
        <v>1953.45</v>
      </c>
    </row>
    <row r="326" spans="21:23">
      <c r="U326" s="693">
        <f t="shared" si="5"/>
        <v>40118</v>
      </c>
      <c r="V326" s="694">
        <v>40137</v>
      </c>
      <c r="W326" s="695">
        <v>1962.33</v>
      </c>
    </row>
    <row r="327" spans="21:23">
      <c r="U327" s="693">
        <f t="shared" si="5"/>
        <v>40118</v>
      </c>
      <c r="V327" s="694">
        <v>40138</v>
      </c>
      <c r="W327" s="695">
        <v>1974.47</v>
      </c>
    </row>
    <row r="328" spans="21:23">
      <c r="U328" s="693">
        <f t="shared" si="5"/>
        <v>40118</v>
      </c>
      <c r="V328" s="694">
        <v>40139</v>
      </c>
      <c r="W328" s="695">
        <v>1974.47</v>
      </c>
    </row>
    <row r="329" spans="21:23">
      <c r="U329" s="693">
        <f t="shared" si="5"/>
        <v>40118</v>
      </c>
      <c r="V329" s="694">
        <v>40140</v>
      </c>
      <c r="W329" s="695">
        <v>1974.47</v>
      </c>
    </row>
    <row r="330" spans="21:23">
      <c r="U330" s="693">
        <f t="shared" si="5"/>
        <v>40118</v>
      </c>
      <c r="V330" s="694">
        <v>40141</v>
      </c>
      <c r="W330" s="695">
        <v>1964.92</v>
      </c>
    </row>
    <row r="331" spans="21:23">
      <c r="U331" s="693">
        <f t="shared" si="5"/>
        <v>40118</v>
      </c>
      <c r="V331" s="694">
        <v>40142</v>
      </c>
      <c r="W331" s="695">
        <v>1969.01</v>
      </c>
    </row>
    <row r="332" spans="21:23">
      <c r="U332" s="693">
        <f t="shared" si="5"/>
        <v>40118</v>
      </c>
      <c r="V332" s="694">
        <v>40143</v>
      </c>
      <c r="W332" s="695">
        <v>1974.14</v>
      </c>
    </row>
    <row r="333" spans="21:23">
      <c r="U333" s="693">
        <f t="shared" si="5"/>
        <v>40118</v>
      </c>
      <c r="V333" s="694">
        <v>40144</v>
      </c>
      <c r="W333" s="695">
        <v>1974.14</v>
      </c>
    </row>
    <row r="334" spans="21:23">
      <c r="U334" s="693">
        <f t="shared" si="5"/>
        <v>40118</v>
      </c>
      <c r="V334" s="694">
        <v>40145</v>
      </c>
      <c r="W334" s="695">
        <v>1997.47</v>
      </c>
    </row>
    <row r="335" spans="21:23">
      <c r="U335" s="693">
        <f t="shared" si="5"/>
        <v>40118</v>
      </c>
      <c r="V335" s="694">
        <v>40146</v>
      </c>
      <c r="W335" s="695">
        <v>1997.47</v>
      </c>
    </row>
    <row r="336" spans="21:23">
      <c r="U336" s="693">
        <f t="shared" si="5"/>
        <v>40118</v>
      </c>
      <c r="V336" s="694">
        <v>40147</v>
      </c>
      <c r="W336" s="695">
        <v>1997.47</v>
      </c>
    </row>
    <row r="337" spans="21:23">
      <c r="U337" s="693">
        <f t="shared" si="5"/>
        <v>40148</v>
      </c>
      <c r="V337" s="694">
        <v>40148</v>
      </c>
      <c r="W337" s="695">
        <v>1998.45</v>
      </c>
    </row>
    <row r="338" spans="21:23">
      <c r="U338" s="693">
        <f t="shared" si="5"/>
        <v>40148</v>
      </c>
      <c r="V338" s="694">
        <v>40149</v>
      </c>
      <c r="W338" s="695">
        <v>1990.29</v>
      </c>
    </row>
    <row r="339" spans="21:23">
      <c r="U339" s="693">
        <f t="shared" si="5"/>
        <v>40148</v>
      </c>
      <c r="V339" s="694">
        <v>40150</v>
      </c>
      <c r="W339" s="695">
        <v>1990.8</v>
      </c>
    </row>
    <row r="340" spans="21:23">
      <c r="U340" s="693">
        <f t="shared" si="5"/>
        <v>40148</v>
      </c>
      <c r="V340" s="694">
        <v>40151</v>
      </c>
      <c r="W340" s="695">
        <v>1989.94</v>
      </c>
    </row>
    <row r="341" spans="21:23">
      <c r="U341" s="693">
        <f t="shared" si="5"/>
        <v>40148</v>
      </c>
      <c r="V341" s="694">
        <v>40152</v>
      </c>
      <c r="W341" s="695">
        <v>2003.94</v>
      </c>
    </row>
    <row r="342" spans="21:23">
      <c r="U342" s="693">
        <f t="shared" si="5"/>
        <v>40148</v>
      </c>
      <c r="V342" s="694">
        <v>40153</v>
      </c>
      <c r="W342" s="695">
        <v>2003.94</v>
      </c>
    </row>
    <row r="343" spans="21:23">
      <c r="U343" s="693">
        <f t="shared" si="5"/>
        <v>40148</v>
      </c>
      <c r="V343" s="694">
        <v>40154</v>
      </c>
      <c r="W343" s="695">
        <v>2003.94</v>
      </c>
    </row>
    <row r="344" spans="21:23">
      <c r="U344" s="693">
        <f t="shared" si="5"/>
        <v>40148</v>
      </c>
      <c r="V344" s="694">
        <v>40155</v>
      </c>
      <c r="W344" s="695">
        <v>2009.45</v>
      </c>
    </row>
    <row r="345" spans="21:23">
      <c r="U345" s="693">
        <f t="shared" si="5"/>
        <v>40148</v>
      </c>
      <c r="V345" s="694">
        <v>40156</v>
      </c>
      <c r="W345" s="695">
        <v>2009.45</v>
      </c>
    </row>
    <row r="346" spans="21:23">
      <c r="U346" s="693">
        <f t="shared" si="5"/>
        <v>40148</v>
      </c>
      <c r="V346" s="694">
        <v>40157</v>
      </c>
      <c r="W346" s="695">
        <v>2016.73</v>
      </c>
    </row>
    <row r="347" spans="21:23">
      <c r="U347" s="693">
        <f t="shared" si="5"/>
        <v>40148</v>
      </c>
      <c r="V347" s="694">
        <v>40158</v>
      </c>
      <c r="W347" s="695">
        <v>2016.17</v>
      </c>
    </row>
    <row r="348" spans="21:23">
      <c r="U348" s="693">
        <f t="shared" si="5"/>
        <v>40148</v>
      </c>
      <c r="V348" s="694">
        <v>40159</v>
      </c>
      <c r="W348" s="695">
        <v>2000.54</v>
      </c>
    </row>
    <row r="349" spans="21:23">
      <c r="U349" s="693">
        <f t="shared" si="5"/>
        <v>40148</v>
      </c>
      <c r="V349" s="694">
        <v>40160</v>
      </c>
      <c r="W349" s="695">
        <v>2000.54</v>
      </c>
    </row>
    <row r="350" spans="21:23">
      <c r="U350" s="693">
        <f t="shared" si="5"/>
        <v>40148</v>
      </c>
      <c r="V350" s="694">
        <v>40161</v>
      </c>
      <c r="W350" s="695">
        <v>2000.54</v>
      </c>
    </row>
    <row r="351" spans="21:23">
      <c r="U351" s="693">
        <f t="shared" si="5"/>
        <v>40148</v>
      </c>
      <c r="V351" s="694">
        <v>40162</v>
      </c>
      <c r="W351" s="695">
        <v>1992.1</v>
      </c>
    </row>
    <row r="352" spans="21:23">
      <c r="U352" s="693">
        <f t="shared" si="5"/>
        <v>40148</v>
      </c>
      <c r="V352" s="694">
        <v>40163</v>
      </c>
      <c r="W352" s="695">
        <v>2001.86</v>
      </c>
    </row>
    <row r="353" spans="21:23">
      <c r="U353" s="693">
        <f t="shared" si="5"/>
        <v>40148</v>
      </c>
      <c r="V353" s="694">
        <v>40164</v>
      </c>
      <c r="W353" s="695">
        <v>2005.09</v>
      </c>
    </row>
    <row r="354" spans="21:23">
      <c r="U354" s="693">
        <f t="shared" si="5"/>
        <v>40148</v>
      </c>
      <c r="V354" s="694">
        <v>40165</v>
      </c>
      <c r="W354" s="695">
        <v>2015.74</v>
      </c>
    </row>
    <row r="355" spans="21:23">
      <c r="U355" s="693">
        <f t="shared" si="5"/>
        <v>40148</v>
      </c>
      <c r="V355" s="694">
        <v>40166</v>
      </c>
      <c r="W355" s="695">
        <v>2025.85</v>
      </c>
    </row>
    <row r="356" spans="21:23">
      <c r="U356" s="693">
        <f t="shared" si="5"/>
        <v>40148</v>
      </c>
      <c r="V356" s="694">
        <v>40167</v>
      </c>
      <c r="W356" s="695">
        <v>2025.85</v>
      </c>
    </row>
    <row r="357" spans="21:23">
      <c r="U357" s="693">
        <f t="shared" si="5"/>
        <v>40148</v>
      </c>
      <c r="V357" s="694">
        <v>40168</v>
      </c>
      <c r="W357" s="695">
        <v>2025.85</v>
      </c>
    </row>
    <row r="358" spans="21:23">
      <c r="U358" s="693">
        <f t="shared" si="5"/>
        <v>40148</v>
      </c>
      <c r="V358" s="694">
        <v>40169</v>
      </c>
      <c r="W358" s="695">
        <v>2030.17</v>
      </c>
    </row>
    <row r="359" spans="21:23">
      <c r="U359" s="693">
        <f t="shared" si="5"/>
        <v>40148</v>
      </c>
      <c r="V359" s="694">
        <v>40170</v>
      </c>
      <c r="W359" s="695">
        <v>2054.1</v>
      </c>
    </row>
    <row r="360" spans="21:23">
      <c r="U360" s="693">
        <f t="shared" si="5"/>
        <v>40148</v>
      </c>
      <c r="V360" s="694">
        <v>40171</v>
      </c>
      <c r="W360" s="695">
        <v>2045.07</v>
      </c>
    </row>
    <row r="361" spans="21:23">
      <c r="U361" s="693">
        <f t="shared" si="5"/>
        <v>40148</v>
      </c>
      <c r="V361" s="694">
        <v>40172</v>
      </c>
      <c r="W361" s="695">
        <v>2043.41</v>
      </c>
    </row>
    <row r="362" spans="21:23">
      <c r="U362" s="693">
        <f t="shared" si="5"/>
        <v>40148</v>
      </c>
      <c r="V362" s="694">
        <v>40173</v>
      </c>
      <c r="W362" s="695">
        <v>2043.41</v>
      </c>
    </row>
    <row r="363" spans="21:23">
      <c r="U363" s="693">
        <f t="shared" si="5"/>
        <v>40148</v>
      </c>
      <c r="V363" s="694">
        <v>40174</v>
      </c>
      <c r="W363" s="695">
        <v>2043.41</v>
      </c>
    </row>
    <row r="364" spans="21:23">
      <c r="U364" s="693">
        <f t="shared" si="5"/>
        <v>40148</v>
      </c>
      <c r="V364" s="694">
        <v>40175</v>
      </c>
      <c r="W364" s="695">
        <v>2043.41</v>
      </c>
    </row>
    <row r="365" spans="21:23">
      <c r="U365" s="693">
        <f t="shared" si="5"/>
        <v>40148</v>
      </c>
      <c r="V365" s="694">
        <v>40176</v>
      </c>
      <c r="W365" s="695">
        <v>2037.92</v>
      </c>
    </row>
    <row r="366" spans="21:23">
      <c r="U366" s="693">
        <f t="shared" si="5"/>
        <v>40148</v>
      </c>
      <c r="V366" s="694">
        <v>40177</v>
      </c>
      <c r="W366" s="695">
        <v>2046.2</v>
      </c>
    </row>
    <row r="367" spans="21:23">
      <c r="U367" s="693">
        <f t="shared" si="5"/>
        <v>40148</v>
      </c>
      <c r="V367" s="694">
        <v>40178</v>
      </c>
      <c r="W367" s="695">
        <v>2044.23</v>
      </c>
    </row>
    <row r="368" spans="21:23">
      <c r="U368" s="693">
        <f t="shared" si="5"/>
        <v>40179</v>
      </c>
      <c r="V368" s="694">
        <v>40179</v>
      </c>
      <c r="W368" s="695">
        <v>2044.23</v>
      </c>
    </row>
    <row r="369" spans="21:23">
      <c r="U369" s="693">
        <f t="shared" si="5"/>
        <v>40179</v>
      </c>
      <c r="V369" s="694">
        <v>40180</v>
      </c>
      <c r="W369" s="695">
        <v>2044.23</v>
      </c>
    </row>
    <row r="370" spans="21:23">
      <c r="U370" s="693">
        <f t="shared" si="5"/>
        <v>40179</v>
      </c>
      <c r="V370" s="694">
        <v>40181</v>
      </c>
      <c r="W370" s="695">
        <v>2044.23</v>
      </c>
    </row>
    <row r="371" spans="21:23">
      <c r="U371" s="693">
        <f t="shared" si="5"/>
        <v>40179</v>
      </c>
      <c r="V371" s="694">
        <v>40182</v>
      </c>
      <c r="W371" s="695">
        <v>2044.23</v>
      </c>
    </row>
    <row r="372" spans="21:23">
      <c r="U372" s="693">
        <f t="shared" si="5"/>
        <v>40179</v>
      </c>
      <c r="V372" s="694">
        <v>40183</v>
      </c>
      <c r="W372" s="695">
        <v>2021.21</v>
      </c>
    </row>
    <row r="373" spans="21:23">
      <c r="U373" s="693">
        <f t="shared" si="5"/>
        <v>40179</v>
      </c>
      <c r="V373" s="694">
        <v>40184</v>
      </c>
      <c r="W373" s="695">
        <v>1992.78</v>
      </c>
    </row>
    <row r="374" spans="21:23">
      <c r="U374" s="693">
        <f t="shared" si="5"/>
        <v>40179</v>
      </c>
      <c r="V374" s="694">
        <v>40185</v>
      </c>
      <c r="W374" s="695">
        <v>1971.32</v>
      </c>
    </row>
    <row r="375" spans="21:23">
      <c r="U375" s="693">
        <f t="shared" si="5"/>
        <v>40179</v>
      </c>
      <c r="V375" s="694">
        <v>40186</v>
      </c>
      <c r="W375" s="695">
        <v>1969.08</v>
      </c>
    </row>
    <row r="376" spans="21:23">
      <c r="U376" s="693">
        <f t="shared" si="5"/>
        <v>40179</v>
      </c>
      <c r="V376" s="694">
        <v>40187</v>
      </c>
      <c r="W376" s="695">
        <v>1968.24</v>
      </c>
    </row>
    <row r="377" spans="21:23">
      <c r="U377" s="693">
        <f t="shared" si="5"/>
        <v>40179</v>
      </c>
      <c r="V377" s="694">
        <v>40188</v>
      </c>
      <c r="W377" s="695">
        <v>1968.24</v>
      </c>
    </row>
    <row r="378" spans="21:23">
      <c r="U378" s="693">
        <f t="shared" si="5"/>
        <v>40179</v>
      </c>
      <c r="V378" s="694">
        <v>40189</v>
      </c>
      <c r="W378" s="695">
        <v>1968.24</v>
      </c>
    </row>
    <row r="379" spans="21:23">
      <c r="U379" s="693">
        <f t="shared" si="5"/>
        <v>40179</v>
      </c>
      <c r="V379" s="694">
        <v>40190</v>
      </c>
      <c r="W379" s="695">
        <v>1968.24</v>
      </c>
    </row>
    <row r="380" spans="21:23">
      <c r="U380" s="693">
        <f t="shared" si="5"/>
        <v>40179</v>
      </c>
      <c r="V380" s="694">
        <v>40191</v>
      </c>
      <c r="W380" s="695">
        <v>1959.43</v>
      </c>
    </row>
    <row r="381" spans="21:23">
      <c r="U381" s="693">
        <f t="shared" si="5"/>
        <v>40179</v>
      </c>
      <c r="V381" s="694">
        <v>40192</v>
      </c>
      <c r="W381" s="695">
        <v>1965.81</v>
      </c>
    </row>
    <row r="382" spans="21:23">
      <c r="U382" s="693">
        <f t="shared" si="5"/>
        <v>40179</v>
      </c>
      <c r="V382" s="694">
        <v>40193</v>
      </c>
      <c r="W382" s="695">
        <v>1974.13</v>
      </c>
    </row>
    <row r="383" spans="21:23">
      <c r="U383" s="693">
        <f t="shared" si="5"/>
        <v>40179</v>
      </c>
      <c r="V383" s="694">
        <v>40194</v>
      </c>
      <c r="W383" s="695">
        <v>1967.4</v>
      </c>
    </row>
    <row r="384" spans="21:23">
      <c r="U384" s="693">
        <f t="shared" si="5"/>
        <v>40179</v>
      </c>
      <c r="V384" s="694">
        <v>40195</v>
      </c>
      <c r="W384" s="695">
        <v>1967.4</v>
      </c>
    </row>
    <row r="385" spans="21:23">
      <c r="U385" s="693">
        <f t="shared" si="5"/>
        <v>40179</v>
      </c>
      <c r="V385" s="694">
        <v>40196</v>
      </c>
      <c r="W385" s="695">
        <v>1967.4</v>
      </c>
    </row>
    <row r="386" spans="21:23">
      <c r="U386" s="693">
        <f t="shared" si="5"/>
        <v>40179</v>
      </c>
      <c r="V386" s="694">
        <v>40197</v>
      </c>
      <c r="W386" s="695">
        <v>1967.4</v>
      </c>
    </row>
    <row r="387" spans="21:23">
      <c r="U387" s="693">
        <f t="shared" ref="U387:U450" si="6">+DATE(YEAR(V387),MONTH(V387),1)</f>
        <v>40179</v>
      </c>
      <c r="V387" s="694">
        <v>40198</v>
      </c>
      <c r="W387" s="695">
        <v>1957.82</v>
      </c>
    </row>
    <row r="388" spans="21:23">
      <c r="U388" s="693">
        <f t="shared" si="6"/>
        <v>40179</v>
      </c>
      <c r="V388" s="694">
        <v>40199</v>
      </c>
      <c r="W388" s="695">
        <v>1964.18</v>
      </c>
    </row>
    <row r="389" spans="21:23">
      <c r="U389" s="693">
        <f t="shared" si="6"/>
        <v>40179</v>
      </c>
      <c r="V389" s="694">
        <v>40200</v>
      </c>
      <c r="W389" s="695">
        <v>1967.08</v>
      </c>
    </row>
    <row r="390" spans="21:23">
      <c r="U390" s="693">
        <f t="shared" si="6"/>
        <v>40179</v>
      </c>
      <c r="V390" s="694">
        <v>40201</v>
      </c>
      <c r="W390" s="695">
        <v>1981.96</v>
      </c>
    </row>
    <row r="391" spans="21:23">
      <c r="U391" s="693">
        <f t="shared" si="6"/>
        <v>40179</v>
      </c>
      <c r="V391" s="694">
        <v>40202</v>
      </c>
      <c r="W391" s="695">
        <v>1981.96</v>
      </c>
    </row>
    <row r="392" spans="21:23">
      <c r="U392" s="693">
        <f t="shared" si="6"/>
        <v>40179</v>
      </c>
      <c r="V392" s="694">
        <v>40203</v>
      </c>
      <c r="W392" s="695">
        <v>1981.96</v>
      </c>
    </row>
    <row r="393" spans="21:23">
      <c r="U393" s="693">
        <f t="shared" si="6"/>
        <v>40179</v>
      </c>
      <c r="V393" s="694">
        <v>40204</v>
      </c>
      <c r="W393" s="695">
        <v>1961.97</v>
      </c>
    </row>
    <row r="394" spans="21:23">
      <c r="U394" s="693">
        <f t="shared" si="6"/>
        <v>40179</v>
      </c>
      <c r="V394" s="694">
        <v>40205</v>
      </c>
      <c r="W394" s="695">
        <v>1972.22</v>
      </c>
    </row>
    <row r="395" spans="21:23">
      <c r="U395" s="693">
        <f t="shared" si="6"/>
        <v>40179</v>
      </c>
      <c r="V395" s="694">
        <v>40206</v>
      </c>
      <c r="W395" s="695">
        <v>1988.05</v>
      </c>
    </row>
    <row r="396" spans="21:23">
      <c r="U396" s="693">
        <f t="shared" si="6"/>
        <v>40179</v>
      </c>
      <c r="V396" s="694">
        <v>40207</v>
      </c>
      <c r="W396" s="695">
        <v>1991.21</v>
      </c>
    </row>
    <row r="397" spans="21:23">
      <c r="U397" s="693">
        <f t="shared" si="6"/>
        <v>40179</v>
      </c>
      <c r="V397" s="694">
        <v>40208</v>
      </c>
      <c r="W397" s="695">
        <v>1982.29</v>
      </c>
    </row>
    <row r="398" spans="21:23">
      <c r="U398" s="693">
        <f t="shared" si="6"/>
        <v>40179</v>
      </c>
      <c r="V398" s="694">
        <v>40209</v>
      </c>
      <c r="W398" s="695">
        <v>1982.29</v>
      </c>
    </row>
    <row r="399" spans="21:23">
      <c r="U399" s="693">
        <f t="shared" si="6"/>
        <v>40210</v>
      </c>
      <c r="V399" s="694">
        <v>40210</v>
      </c>
      <c r="W399" s="695">
        <v>1982.29</v>
      </c>
    </row>
    <row r="400" spans="21:23">
      <c r="U400" s="693">
        <f t="shared" si="6"/>
        <v>40210</v>
      </c>
      <c r="V400" s="694">
        <v>40211</v>
      </c>
      <c r="W400" s="695">
        <v>1972.6</v>
      </c>
    </row>
    <row r="401" spans="21:23">
      <c r="U401" s="693">
        <f t="shared" si="6"/>
        <v>40210</v>
      </c>
      <c r="V401" s="694">
        <v>40212</v>
      </c>
      <c r="W401" s="695">
        <v>1959.93</v>
      </c>
    </row>
    <row r="402" spans="21:23">
      <c r="U402" s="693">
        <f t="shared" si="6"/>
        <v>40210</v>
      </c>
      <c r="V402" s="694">
        <v>40213</v>
      </c>
      <c r="W402" s="695">
        <v>1966.02</v>
      </c>
    </row>
    <row r="403" spans="21:23">
      <c r="U403" s="693">
        <f t="shared" si="6"/>
        <v>40210</v>
      </c>
      <c r="V403" s="694">
        <v>40214</v>
      </c>
      <c r="W403" s="695">
        <v>1984.16</v>
      </c>
    </row>
    <row r="404" spans="21:23">
      <c r="U404" s="693">
        <f t="shared" si="6"/>
        <v>40210</v>
      </c>
      <c r="V404" s="694">
        <v>40215</v>
      </c>
      <c r="W404" s="695">
        <v>1997.13</v>
      </c>
    </row>
    <row r="405" spans="21:23">
      <c r="U405" s="693">
        <f t="shared" si="6"/>
        <v>40210</v>
      </c>
      <c r="V405" s="694">
        <v>40216</v>
      </c>
      <c r="W405" s="695">
        <v>1997.13</v>
      </c>
    </row>
    <row r="406" spans="21:23">
      <c r="U406" s="693">
        <f t="shared" si="6"/>
        <v>40210</v>
      </c>
      <c r="V406" s="694">
        <v>40217</v>
      </c>
      <c r="W406" s="695">
        <v>1997.13</v>
      </c>
    </row>
    <row r="407" spans="21:23">
      <c r="U407" s="693">
        <f t="shared" si="6"/>
        <v>40210</v>
      </c>
      <c r="V407" s="694">
        <v>40218</v>
      </c>
      <c r="W407" s="695">
        <v>2003.76</v>
      </c>
    </row>
    <row r="408" spans="21:23">
      <c r="U408" s="693">
        <f t="shared" si="6"/>
        <v>40210</v>
      </c>
      <c r="V408" s="694">
        <v>40219</v>
      </c>
      <c r="W408" s="695">
        <v>1981.4</v>
      </c>
    </row>
    <row r="409" spans="21:23">
      <c r="U409" s="693">
        <f t="shared" si="6"/>
        <v>40210</v>
      </c>
      <c r="V409" s="694">
        <v>40220</v>
      </c>
      <c r="W409" s="695">
        <v>1965.03</v>
      </c>
    </row>
    <row r="410" spans="21:23">
      <c r="U410" s="693">
        <f t="shared" si="6"/>
        <v>40210</v>
      </c>
      <c r="V410" s="694">
        <v>40221</v>
      </c>
      <c r="W410" s="695">
        <v>1943.6</v>
      </c>
    </row>
    <row r="411" spans="21:23">
      <c r="U411" s="693">
        <f t="shared" si="6"/>
        <v>40210</v>
      </c>
      <c r="V411" s="694">
        <v>40222</v>
      </c>
      <c r="W411" s="695">
        <v>1936.9</v>
      </c>
    </row>
    <row r="412" spans="21:23">
      <c r="U412" s="693">
        <f t="shared" si="6"/>
        <v>40210</v>
      </c>
      <c r="V412" s="694">
        <v>40223</v>
      </c>
      <c r="W412" s="695">
        <v>1936.9</v>
      </c>
    </row>
    <row r="413" spans="21:23">
      <c r="U413" s="693">
        <f t="shared" si="6"/>
        <v>40210</v>
      </c>
      <c r="V413" s="694">
        <v>40224</v>
      </c>
      <c r="W413" s="695">
        <v>1936.9</v>
      </c>
    </row>
    <row r="414" spans="21:23">
      <c r="U414" s="693">
        <f t="shared" si="6"/>
        <v>40210</v>
      </c>
      <c r="V414" s="694">
        <v>40225</v>
      </c>
      <c r="W414" s="695">
        <v>1936.9</v>
      </c>
    </row>
    <row r="415" spans="21:23">
      <c r="U415" s="693">
        <f t="shared" si="6"/>
        <v>40210</v>
      </c>
      <c r="V415" s="694">
        <v>40226</v>
      </c>
      <c r="W415" s="695">
        <v>1925.79</v>
      </c>
    </row>
    <row r="416" spans="21:23">
      <c r="U416" s="693">
        <f t="shared" si="6"/>
        <v>40210</v>
      </c>
      <c r="V416" s="694">
        <v>40227</v>
      </c>
      <c r="W416" s="695">
        <v>1928.79</v>
      </c>
    </row>
    <row r="417" spans="21:23">
      <c r="U417" s="693">
        <f t="shared" si="6"/>
        <v>40210</v>
      </c>
      <c r="V417" s="694">
        <v>40228</v>
      </c>
      <c r="W417" s="695">
        <v>1930.94</v>
      </c>
    </row>
    <row r="418" spans="21:23">
      <c r="U418" s="693">
        <f t="shared" si="6"/>
        <v>40210</v>
      </c>
      <c r="V418" s="694">
        <v>40229</v>
      </c>
      <c r="W418" s="695">
        <v>1928.86</v>
      </c>
    </row>
    <row r="419" spans="21:23">
      <c r="U419" s="693">
        <f t="shared" si="6"/>
        <v>40210</v>
      </c>
      <c r="V419" s="694">
        <v>40230</v>
      </c>
      <c r="W419" s="695">
        <v>1928.86</v>
      </c>
    </row>
    <row r="420" spans="21:23">
      <c r="U420" s="693">
        <f t="shared" si="6"/>
        <v>40210</v>
      </c>
      <c r="V420" s="694">
        <v>40231</v>
      </c>
      <c r="W420" s="695">
        <v>1928.86</v>
      </c>
    </row>
    <row r="421" spans="21:23">
      <c r="U421" s="693">
        <f t="shared" si="6"/>
        <v>40210</v>
      </c>
      <c r="V421" s="694">
        <v>40232</v>
      </c>
      <c r="W421" s="695">
        <v>1914.87</v>
      </c>
    </row>
    <row r="422" spans="21:23">
      <c r="U422" s="693">
        <f t="shared" si="6"/>
        <v>40210</v>
      </c>
      <c r="V422" s="694">
        <v>40233</v>
      </c>
      <c r="W422" s="695">
        <v>1924.75</v>
      </c>
    </row>
    <row r="423" spans="21:23">
      <c r="U423" s="693">
        <f t="shared" si="6"/>
        <v>40210</v>
      </c>
      <c r="V423" s="694">
        <v>40234</v>
      </c>
      <c r="W423" s="695">
        <v>1932.15</v>
      </c>
    </row>
    <row r="424" spans="21:23">
      <c r="U424" s="693">
        <f t="shared" si="6"/>
        <v>40210</v>
      </c>
      <c r="V424" s="694">
        <v>40235</v>
      </c>
      <c r="W424" s="695">
        <v>1941.98</v>
      </c>
    </row>
    <row r="425" spans="21:23">
      <c r="U425" s="693">
        <f t="shared" si="6"/>
        <v>40210</v>
      </c>
      <c r="V425" s="694">
        <v>40236</v>
      </c>
      <c r="W425" s="695">
        <v>1932.32</v>
      </c>
    </row>
    <row r="426" spans="21:23">
      <c r="U426" s="693">
        <f t="shared" si="6"/>
        <v>40210</v>
      </c>
      <c r="V426" s="694">
        <v>40237</v>
      </c>
      <c r="W426" s="695">
        <v>1932.32</v>
      </c>
    </row>
    <row r="427" spans="21:23">
      <c r="U427" s="693">
        <f t="shared" si="6"/>
        <v>40238</v>
      </c>
      <c r="V427" s="694">
        <v>40238</v>
      </c>
      <c r="W427" s="695">
        <v>1932.32</v>
      </c>
    </row>
    <row r="428" spans="21:23">
      <c r="U428" s="693">
        <f t="shared" si="6"/>
        <v>40238</v>
      </c>
      <c r="V428" s="694">
        <v>40239</v>
      </c>
      <c r="W428" s="695">
        <v>1913.86</v>
      </c>
    </row>
    <row r="429" spans="21:23">
      <c r="U429" s="693">
        <f t="shared" si="6"/>
        <v>40238</v>
      </c>
      <c r="V429" s="694">
        <v>40240</v>
      </c>
      <c r="W429" s="695">
        <v>1895.86</v>
      </c>
    </row>
    <row r="430" spans="21:23">
      <c r="U430" s="693">
        <f t="shared" si="6"/>
        <v>40238</v>
      </c>
      <c r="V430" s="694">
        <v>40241</v>
      </c>
      <c r="W430" s="695">
        <v>1916.41</v>
      </c>
    </row>
    <row r="431" spans="21:23">
      <c r="U431" s="693">
        <f t="shared" si="6"/>
        <v>40238</v>
      </c>
      <c r="V431" s="694">
        <v>40242</v>
      </c>
      <c r="W431" s="695">
        <v>1928.33</v>
      </c>
    </row>
    <row r="432" spans="21:23">
      <c r="U432" s="693">
        <f t="shared" si="6"/>
        <v>40238</v>
      </c>
      <c r="V432" s="694">
        <v>40243</v>
      </c>
      <c r="W432" s="695">
        <v>1902.31</v>
      </c>
    </row>
    <row r="433" spans="21:23">
      <c r="U433" s="693">
        <f t="shared" si="6"/>
        <v>40238</v>
      </c>
      <c r="V433" s="694">
        <v>40244</v>
      </c>
      <c r="W433" s="695">
        <v>1902.31</v>
      </c>
    </row>
    <row r="434" spans="21:23">
      <c r="U434" s="693">
        <f t="shared" si="6"/>
        <v>40238</v>
      </c>
      <c r="V434" s="694">
        <v>40245</v>
      </c>
      <c r="W434" s="695">
        <v>1902.31</v>
      </c>
    </row>
    <row r="435" spans="21:23">
      <c r="U435" s="693">
        <f t="shared" si="6"/>
        <v>40238</v>
      </c>
      <c r="V435" s="694">
        <v>40246</v>
      </c>
      <c r="W435" s="695">
        <v>1894.44</v>
      </c>
    </row>
    <row r="436" spans="21:23">
      <c r="U436" s="693">
        <f t="shared" si="6"/>
        <v>40238</v>
      </c>
      <c r="V436" s="694">
        <v>40247</v>
      </c>
      <c r="W436" s="695">
        <v>1894.3</v>
      </c>
    </row>
    <row r="437" spans="21:23">
      <c r="U437" s="693">
        <f t="shared" si="6"/>
        <v>40238</v>
      </c>
      <c r="V437" s="694">
        <v>40248</v>
      </c>
      <c r="W437" s="695">
        <v>1888.05</v>
      </c>
    </row>
    <row r="438" spans="21:23">
      <c r="U438" s="693">
        <f t="shared" si="6"/>
        <v>40238</v>
      </c>
      <c r="V438" s="694">
        <v>40249</v>
      </c>
      <c r="W438" s="695">
        <v>1894.79</v>
      </c>
    </row>
    <row r="439" spans="21:23">
      <c r="U439" s="693">
        <f t="shared" si="6"/>
        <v>40238</v>
      </c>
      <c r="V439" s="694">
        <v>40250</v>
      </c>
      <c r="W439" s="695">
        <v>1892.99</v>
      </c>
    </row>
    <row r="440" spans="21:23">
      <c r="U440" s="693">
        <f t="shared" si="6"/>
        <v>40238</v>
      </c>
      <c r="V440" s="694">
        <v>40251</v>
      </c>
      <c r="W440" s="695">
        <v>1892.99</v>
      </c>
    </row>
    <row r="441" spans="21:23">
      <c r="U441" s="693">
        <f t="shared" si="6"/>
        <v>40238</v>
      </c>
      <c r="V441" s="694">
        <v>40252</v>
      </c>
      <c r="W441" s="695">
        <v>1892.99</v>
      </c>
    </row>
    <row r="442" spans="21:23">
      <c r="U442" s="693">
        <f t="shared" si="6"/>
        <v>40238</v>
      </c>
      <c r="V442" s="694">
        <v>40253</v>
      </c>
      <c r="W442" s="695">
        <v>1899.75</v>
      </c>
    </row>
    <row r="443" spans="21:23">
      <c r="U443" s="693">
        <f t="shared" si="6"/>
        <v>40238</v>
      </c>
      <c r="V443" s="694">
        <v>40254</v>
      </c>
      <c r="W443" s="695">
        <v>1896.15</v>
      </c>
    </row>
    <row r="444" spans="21:23">
      <c r="U444" s="693">
        <f t="shared" si="6"/>
        <v>40238</v>
      </c>
      <c r="V444" s="694">
        <v>40255</v>
      </c>
      <c r="W444" s="695">
        <v>1893.42</v>
      </c>
    </row>
    <row r="445" spans="21:23">
      <c r="U445" s="693">
        <f t="shared" si="6"/>
        <v>40238</v>
      </c>
      <c r="V445" s="694">
        <v>40256</v>
      </c>
      <c r="W445" s="695">
        <v>1900.55</v>
      </c>
    </row>
    <row r="446" spans="21:23">
      <c r="U446" s="693">
        <f t="shared" si="6"/>
        <v>40238</v>
      </c>
      <c r="V446" s="694">
        <v>40257</v>
      </c>
      <c r="W446" s="695">
        <v>1907.06</v>
      </c>
    </row>
    <row r="447" spans="21:23">
      <c r="U447" s="693">
        <f t="shared" si="6"/>
        <v>40238</v>
      </c>
      <c r="V447" s="694">
        <v>40258</v>
      </c>
      <c r="W447" s="695">
        <v>1907.06</v>
      </c>
    </row>
    <row r="448" spans="21:23">
      <c r="U448" s="693">
        <f t="shared" si="6"/>
        <v>40238</v>
      </c>
      <c r="V448" s="694">
        <v>40259</v>
      </c>
      <c r="W448" s="695">
        <v>1907.06</v>
      </c>
    </row>
    <row r="449" spans="21:23">
      <c r="U449" s="693">
        <f t="shared" si="6"/>
        <v>40238</v>
      </c>
      <c r="V449" s="694">
        <v>40260</v>
      </c>
      <c r="W449" s="695">
        <v>1907.06</v>
      </c>
    </row>
    <row r="450" spans="21:23">
      <c r="U450" s="693">
        <f t="shared" si="6"/>
        <v>40238</v>
      </c>
      <c r="V450" s="694">
        <v>40261</v>
      </c>
      <c r="W450" s="695">
        <v>1907.06</v>
      </c>
    </row>
    <row r="451" spans="21:23">
      <c r="U451" s="693">
        <f t="shared" ref="U451:U514" si="7">+DATE(YEAR(V451),MONTH(V451),1)</f>
        <v>40238</v>
      </c>
      <c r="V451" s="694">
        <v>40262</v>
      </c>
      <c r="W451" s="695">
        <v>1923.41</v>
      </c>
    </row>
    <row r="452" spans="21:23">
      <c r="U452" s="693">
        <f t="shared" si="7"/>
        <v>40238</v>
      </c>
      <c r="V452" s="694">
        <v>40263</v>
      </c>
      <c r="W452" s="695">
        <v>1922.91</v>
      </c>
    </row>
    <row r="453" spans="21:23">
      <c r="U453" s="693">
        <f t="shared" si="7"/>
        <v>40238</v>
      </c>
      <c r="V453" s="694">
        <v>40264</v>
      </c>
      <c r="W453" s="695">
        <v>1933.4</v>
      </c>
    </row>
    <row r="454" spans="21:23">
      <c r="U454" s="693">
        <f t="shared" si="7"/>
        <v>40238</v>
      </c>
      <c r="V454" s="694">
        <v>40265</v>
      </c>
      <c r="W454" s="695">
        <v>1933.4</v>
      </c>
    </row>
    <row r="455" spans="21:23">
      <c r="U455" s="693">
        <f t="shared" si="7"/>
        <v>40238</v>
      </c>
      <c r="V455" s="694">
        <v>40266</v>
      </c>
      <c r="W455" s="695">
        <v>1933.4</v>
      </c>
    </row>
    <row r="456" spans="21:23">
      <c r="U456" s="693">
        <f t="shared" si="7"/>
        <v>40238</v>
      </c>
      <c r="V456" s="694">
        <v>40267</v>
      </c>
      <c r="W456" s="695">
        <v>1934.21</v>
      </c>
    </row>
    <row r="457" spans="21:23">
      <c r="U457" s="693">
        <f t="shared" si="7"/>
        <v>40238</v>
      </c>
      <c r="V457" s="694">
        <v>40268</v>
      </c>
      <c r="W457" s="695">
        <v>1928.59</v>
      </c>
    </row>
    <row r="458" spans="21:23">
      <c r="U458" s="693">
        <f t="shared" si="7"/>
        <v>40269</v>
      </c>
      <c r="V458" s="694">
        <v>40269</v>
      </c>
      <c r="W458" s="695">
        <v>1921.88</v>
      </c>
    </row>
    <row r="459" spans="21:23">
      <c r="U459" s="693">
        <f t="shared" si="7"/>
        <v>40269</v>
      </c>
      <c r="V459" s="694">
        <v>40270</v>
      </c>
      <c r="W459" s="695">
        <v>1921.88</v>
      </c>
    </row>
    <row r="460" spans="21:23">
      <c r="U460" s="693">
        <f t="shared" si="7"/>
        <v>40269</v>
      </c>
      <c r="V460" s="694">
        <v>40271</v>
      </c>
      <c r="W460" s="695">
        <v>1921.88</v>
      </c>
    </row>
    <row r="461" spans="21:23">
      <c r="U461" s="693">
        <f t="shared" si="7"/>
        <v>40269</v>
      </c>
      <c r="V461" s="694">
        <v>40272</v>
      </c>
      <c r="W461" s="695">
        <v>1921.88</v>
      </c>
    </row>
    <row r="462" spans="21:23">
      <c r="U462" s="693">
        <f t="shared" si="7"/>
        <v>40269</v>
      </c>
      <c r="V462" s="694">
        <v>40273</v>
      </c>
      <c r="W462" s="695">
        <v>1921.88</v>
      </c>
    </row>
    <row r="463" spans="21:23">
      <c r="U463" s="693">
        <f t="shared" si="7"/>
        <v>40269</v>
      </c>
      <c r="V463" s="694">
        <v>40274</v>
      </c>
      <c r="W463" s="695">
        <v>1911.78</v>
      </c>
    </row>
    <row r="464" spans="21:23">
      <c r="U464" s="693">
        <f t="shared" si="7"/>
        <v>40269</v>
      </c>
      <c r="V464" s="694">
        <v>40275</v>
      </c>
      <c r="W464" s="695">
        <v>1911.07</v>
      </c>
    </row>
    <row r="465" spans="21:23">
      <c r="U465" s="693">
        <f t="shared" si="7"/>
        <v>40269</v>
      </c>
      <c r="V465" s="694">
        <v>40276</v>
      </c>
      <c r="W465" s="695">
        <v>1920.53</v>
      </c>
    </row>
    <row r="466" spans="21:23">
      <c r="U466" s="693">
        <f t="shared" si="7"/>
        <v>40269</v>
      </c>
      <c r="V466" s="694">
        <v>40277</v>
      </c>
      <c r="W466" s="695">
        <v>1931.91</v>
      </c>
    </row>
    <row r="467" spans="21:23">
      <c r="U467" s="693">
        <f t="shared" si="7"/>
        <v>40269</v>
      </c>
      <c r="V467" s="694">
        <v>40278</v>
      </c>
      <c r="W467" s="695">
        <v>1921.32</v>
      </c>
    </row>
    <row r="468" spans="21:23">
      <c r="U468" s="693">
        <f t="shared" si="7"/>
        <v>40269</v>
      </c>
      <c r="V468" s="694">
        <v>40279</v>
      </c>
      <c r="W468" s="695">
        <v>1921.32</v>
      </c>
    </row>
    <row r="469" spans="21:23">
      <c r="U469" s="693">
        <f t="shared" si="7"/>
        <v>40269</v>
      </c>
      <c r="V469" s="694">
        <v>40280</v>
      </c>
      <c r="W469" s="695">
        <v>1921.32</v>
      </c>
    </row>
    <row r="470" spans="21:23">
      <c r="U470" s="693">
        <f t="shared" si="7"/>
        <v>40269</v>
      </c>
      <c r="V470" s="694">
        <v>40281</v>
      </c>
      <c r="W470" s="695">
        <v>1926.16</v>
      </c>
    </row>
    <row r="471" spans="21:23">
      <c r="U471" s="693">
        <f t="shared" si="7"/>
        <v>40269</v>
      </c>
      <c r="V471" s="694">
        <v>40282</v>
      </c>
      <c r="W471" s="695">
        <v>1936.22</v>
      </c>
    </row>
    <row r="472" spans="21:23">
      <c r="U472" s="693">
        <f t="shared" si="7"/>
        <v>40269</v>
      </c>
      <c r="V472" s="694">
        <v>40283</v>
      </c>
      <c r="W472" s="695">
        <v>1938.24</v>
      </c>
    </row>
    <row r="473" spans="21:23">
      <c r="U473" s="693">
        <f t="shared" si="7"/>
        <v>40269</v>
      </c>
      <c r="V473" s="694">
        <v>40284</v>
      </c>
      <c r="W473" s="695">
        <v>1943.83</v>
      </c>
    </row>
    <row r="474" spans="21:23">
      <c r="U474" s="693">
        <f t="shared" si="7"/>
        <v>40269</v>
      </c>
      <c r="V474" s="694">
        <v>40285</v>
      </c>
      <c r="W474" s="695">
        <v>1942.21</v>
      </c>
    </row>
    <row r="475" spans="21:23">
      <c r="U475" s="693">
        <f t="shared" si="7"/>
        <v>40269</v>
      </c>
      <c r="V475" s="694">
        <v>40286</v>
      </c>
      <c r="W475" s="695">
        <v>1942.21</v>
      </c>
    </row>
    <row r="476" spans="21:23">
      <c r="U476" s="693">
        <f t="shared" si="7"/>
        <v>40269</v>
      </c>
      <c r="V476" s="694">
        <v>40287</v>
      </c>
      <c r="W476" s="695">
        <v>1942.21</v>
      </c>
    </row>
    <row r="477" spans="21:23">
      <c r="U477" s="693">
        <f t="shared" si="7"/>
        <v>40269</v>
      </c>
      <c r="V477" s="694">
        <v>40288</v>
      </c>
      <c r="W477" s="695">
        <v>1951.04</v>
      </c>
    </row>
    <row r="478" spans="21:23">
      <c r="U478" s="693">
        <f t="shared" si="7"/>
        <v>40269</v>
      </c>
      <c r="V478" s="694">
        <v>40289</v>
      </c>
      <c r="W478" s="695">
        <v>1947.69</v>
      </c>
    </row>
    <row r="479" spans="21:23">
      <c r="U479" s="693">
        <f t="shared" si="7"/>
        <v>40269</v>
      </c>
      <c r="V479" s="694">
        <v>40290</v>
      </c>
      <c r="W479" s="695">
        <v>1948.47</v>
      </c>
    </row>
    <row r="480" spans="21:23">
      <c r="U480" s="693">
        <f t="shared" si="7"/>
        <v>40269</v>
      </c>
      <c r="V480" s="694">
        <v>40291</v>
      </c>
      <c r="W480" s="695">
        <v>1955.84</v>
      </c>
    </row>
    <row r="481" spans="21:23">
      <c r="U481" s="693">
        <f t="shared" si="7"/>
        <v>40269</v>
      </c>
      <c r="V481" s="694">
        <v>40292</v>
      </c>
      <c r="W481" s="695">
        <v>1950.89</v>
      </c>
    </row>
    <row r="482" spans="21:23">
      <c r="U482" s="693">
        <f t="shared" si="7"/>
        <v>40269</v>
      </c>
      <c r="V482" s="694">
        <v>40293</v>
      </c>
      <c r="W482" s="695">
        <v>1950.89</v>
      </c>
    </row>
    <row r="483" spans="21:23">
      <c r="U483" s="693">
        <f t="shared" si="7"/>
        <v>40269</v>
      </c>
      <c r="V483" s="694">
        <v>40294</v>
      </c>
      <c r="W483" s="695">
        <v>1950.89</v>
      </c>
    </row>
    <row r="484" spans="21:23">
      <c r="U484" s="693">
        <f t="shared" si="7"/>
        <v>40269</v>
      </c>
      <c r="V484" s="694">
        <v>40295</v>
      </c>
      <c r="W484" s="695">
        <v>1943.41</v>
      </c>
    </row>
    <row r="485" spans="21:23">
      <c r="U485" s="693">
        <f t="shared" si="7"/>
        <v>40269</v>
      </c>
      <c r="V485" s="694">
        <v>40296</v>
      </c>
      <c r="W485" s="695">
        <v>1961.82</v>
      </c>
    </row>
    <row r="486" spans="21:23">
      <c r="U486" s="693">
        <f t="shared" si="7"/>
        <v>40269</v>
      </c>
      <c r="V486" s="694">
        <v>40297</v>
      </c>
      <c r="W486" s="695">
        <v>1973.05</v>
      </c>
    </row>
    <row r="487" spans="21:23">
      <c r="U487" s="693">
        <f t="shared" si="7"/>
        <v>40269</v>
      </c>
      <c r="V487" s="694">
        <v>40298</v>
      </c>
      <c r="W487" s="695">
        <v>1969.75</v>
      </c>
    </row>
    <row r="488" spans="21:23">
      <c r="U488" s="693">
        <f t="shared" si="7"/>
        <v>40299</v>
      </c>
      <c r="V488" s="694">
        <v>40299</v>
      </c>
      <c r="W488" s="695">
        <v>1950.44</v>
      </c>
    </row>
    <row r="489" spans="21:23">
      <c r="U489" s="693">
        <f t="shared" si="7"/>
        <v>40299</v>
      </c>
      <c r="V489" s="694">
        <v>40300</v>
      </c>
      <c r="W489" s="695">
        <v>1950.44</v>
      </c>
    </row>
    <row r="490" spans="21:23">
      <c r="U490" s="693">
        <f t="shared" si="7"/>
        <v>40299</v>
      </c>
      <c r="V490" s="694">
        <v>40301</v>
      </c>
      <c r="W490" s="695">
        <v>1950.44</v>
      </c>
    </row>
    <row r="491" spans="21:23">
      <c r="U491" s="693">
        <f t="shared" si="7"/>
        <v>40299</v>
      </c>
      <c r="V491" s="694">
        <v>40302</v>
      </c>
      <c r="W491" s="695">
        <v>1973.42</v>
      </c>
    </row>
    <row r="492" spans="21:23">
      <c r="U492" s="693">
        <f t="shared" si="7"/>
        <v>40299</v>
      </c>
      <c r="V492" s="694">
        <v>40303</v>
      </c>
      <c r="W492" s="695">
        <v>1988.47</v>
      </c>
    </row>
    <row r="493" spans="21:23">
      <c r="U493" s="693">
        <f t="shared" si="7"/>
        <v>40299</v>
      </c>
      <c r="V493" s="694">
        <v>40304</v>
      </c>
      <c r="W493" s="695">
        <v>2003.37</v>
      </c>
    </row>
    <row r="494" spans="21:23">
      <c r="U494" s="693">
        <f t="shared" si="7"/>
        <v>40299</v>
      </c>
      <c r="V494" s="694">
        <v>40305</v>
      </c>
      <c r="W494" s="695">
        <v>2010.13</v>
      </c>
    </row>
    <row r="495" spans="21:23">
      <c r="U495" s="693">
        <f t="shared" si="7"/>
        <v>40299</v>
      </c>
      <c r="V495" s="694">
        <v>40306</v>
      </c>
      <c r="W495" s="695">
        <v>2029.54</v>
      </c>
    </row>
    <row r="496" spans="21:23">
      <c r="U496" s="693">
        <f t="shared" si="7"/>
        <v>40299</v>
      </c>
      <c r="V496" s="694">
        <v>40307</v>
      </c>
      <c r="W496" s="695">
        <v>2029.54</v>
      </c>
    </row>
    <row r="497" spans="21:23">
      <c r="U497" s="693">
        <f t="shared" si="7"/>
        <v>40299</v>
      </c>
      <c r="V497" s="694">
        <v>40308</v>
      </c>
      <c r="W497" s="695">
        <v>2029.54</v>
      </c>
    </row>
    <row r="498" spans="21:23">
      <c r="U498" s="693">
        <f t="shared" si="7"/>
        <v>40299</v>
      </c>
      <c r="V498" s="694">
        <v>40309</v>
      </c>
      <c r="W498" s="695">
        <v>1988.32</v>
      </c>
    </row>
    <row r="499" spans="21:23">
      <c r="U499" s="693">
        <f t="shared" si="7"/>
        <v>40299</v>
      </c>
      <c r="V499" s="694">
        <v>40310</v>
      </c>
      <c r="W499" s="695">
        <v>1980.5</v>
      </c>
    </row>
    <row r="500" spans="21:23">
      <c r="U500" s="693">
        <f t="shared" si="7"/>
        <v>40299</v>
      </c>
      <c r="V500" s="694">
        <v>40311</v>
      </c>
      <c r="W500" s="695">
        <v>1966.36</v>
      </c>
    </row>
    <row r="501" spans="21:23">
      <c r="U501" s="693">
        <f t="shared" si="7"/>
        <v>40299</v>
      </c>
      <c r="V501" s="694">
        <v>40312</v>
      </c>
      <c r="W501" s="695">
        <v>1959.62</v>
      </c>
    </row>
    <row r="502" spans="21:23">
      <c r="U502" s="693">
        <f t="shared" si="7"/>
        <v>40299</v>
      </c>
      <c r="V502" s="694">
        <v>40313</v>
      </c>
      <c r="W502" s="695">
        <v>1968.1</v>
      </c>
    </row>
    <row r="503" spans="21:23">
      <c r="U503" s="693">
        <f t="shared" si="7"/>
        <v>40299</v>
      </c>
      <c r="V503" s="694">
        <v>40314</v>
      </c>
      <c r="W503" s="695">
        <v>1968.1</v>
      </c>
    </row>
    <row r="504" spans="21:23">
      <c r="U504" s="693">
        <f t="shared" si="7"/>
        <v>40299</v>
      </c>
      <c r="V504" s="694">
        <v>40315</v>
      </c>
      <c r="W504" s="695">
        <v>1968.1</v>
      </c>
    </row>
    <row r="505" spans="21:23">
      <c r="U505" s="693">
        <f t="shared" si="7"/>
        <v>40299</v>
      </c>
      <c r="V505" s="694">
        <v>40316</v>
      </c>
      <c r="W505" s="695">
        <v>1968.1</v>
      </c>
    </row>
    <row r="506" spans="21:23">
      <c r="U506" s="693">
        <f t="shared" si="7"/>
        <v>40299</v>
      </c>
      <c r="V506" s="694">
        <v>40317</v>
      </c>
      <c r="W506" s="695">
        <v>1976.46</v>
      </c>
    </row>
    <row r="507" spans="21:23">
      <c r="U507" s="693">
        <f t="shared" si="7"/>
        <v>40299</v>
      </c>
      <c r="V507" s="694">
        <v>40318</v>
      </c>
      <c r="W507" s="695">
        <v>1997.09</v>
      </c>
    </row>
    <row r="508" spans="21:23">
      <c r="U508" s="693">
        <f t="shared" si="7"/>
        <v>40299</v>
      </c>
      <c r="V508" s="694">
        <v>40319</v>
      </c>
      <c r="W508" s="695">
        <v>2017.68</v>
      </c>
    </row>
    <row r="509" spans="21:23">
      <c r="U509" s="693">
        <f t="shared" si="7"/>
        <v>40299</v>
      </c>
      <c r="V509" s="694">
        <v>40320</v>
      </c>
      <c r="W509" s="695">
        <v>1998.42</v>
      </c>
    </row>
    <row r="510" spans="21:23">
      <c r="U510" s="693">
        <f t="shared" si="7"/>
        <v>40299</v>
      </c>
      <c r="V510" s="694">
        <v>40321</v>
      </c>
      <c r="W510" s="695">
        <v>1998.42</v>
      </c>
    </row>
    <row r="511" spans="21:23">
      <c r="U511" s="693">
        <f t="shared" si="7"/>
        <v>40299</v>
      </c>
      <c r="V511" s="694">
        <v>40322</v>
      </c>
      <c r="W511" s="695">
        <v>1998.42</v>
      </c>
    </row>
    <row r="512" spans="21:23">
      <c r="U512" s="693">
        <f t="shared" si="7"/>
        <v>40299</v>
      </c>
      <c r="V512" s="694">
        <v>40323</v>
      </c>
      <c r="W512" s="695">
        <v>1975.01</v>
      </c>
    </row>
    <row r="513" spans="21:23">
      <c r="U513" s="693">
        <f t="shared" si="7"/>
        <v>40299</v>
      </c>
      <c r="V513" s="694">
        <v>40324</v>
      </c>
      <c r="W513" s="695">
        <v>1989.51</v>
      </c>
    </row>
    <row r="514" spans="21:23">
      <c r="U514" s="693">
        <f t="shared" si="7"/>
        <v>40299</v>
      </c>
      <c r="V514" s="694">
        <v>40325</v>
      </c>
      <c r="W514" s="695">
        <v>1976.4</v>
      </c>
    </row>
    <row r="515" spans="21:23">
      <c r="U515" s="693">
        <f t="shared" ref="U515:U578" si="8">+DATE(YEAR(V515),MONTH(V515),1)</f>
        <v>40299</v>
      </c>
      <c r="V515" s="694">
        <v>40326</v>
      </c>
      <c r="W515" s="695">
        <v>1966.8</v>
      </c>
    </row>
    <row r="516" spans="21:23">
      <c r="U516" s="693">
        <f t="shared" si="8"/>
        <v>40299</v>
      </c>
      <c r="V516" s="694">
        <v>40327</v>
      </c>
      <c r="W516" s="695">
        <v>1971.55</v>
      </c>
    </row>
    <row r="517" spans="21:23">
      <c r="U517" s="693">
        <f t="shared" si="8"/>
        <v>40299</v>
      </c>
      <c r="V517" s="694">
        <v>40328</v>
      </c>
      <c r="W517" s="695">
        <v>1971.55</v>
      </c>
    </row>
    <row r="518" spans="21:23">
      <c r="U518" s="693">
        <f t="shared" si="8"/>
        <v>40299</v>
      </c>
      <c r="V518" s="694">
        <v>40329</v>
      </c>
      <c r="W518" s="695">
        <v>1971.55</v>
      </c>
    </row>
    <row r="519" spans="21:23">
      <c r="U519" s="693">
        <f t="shared" si="8"/>
        <v>40330</v>
      </c>
      <c r="V519" s="694">
        <v>40330</v>
      </c>
      <c r="W519" s="695">
        <v>1971.55</v>
      </c>
    </row>
    <row r="520" spans="21:23">
      <c r="U520" s="693">
        <f t="shared" si="8"/>
        <v>40330</v>
      </c>
      <c r="V520" s="694">
        <v>40331</v>
      </c>
      <c r="W520" s="695">
        <v>1971.45</v>
      </c>
    </row>
    <row r="521" spans="21:23">
      <c r="U521" s="693">
        <f t="shared" si="8"/>
        <v>40330</v>
      </c>
      <c r="V521" s="694">
        <v>40332</v>
      </c>
      <c r="W521" s="695">
        <v>1963.36</v>
      </c>
    </row>
    <row r="522" spans="21:23">
      <c r="U522" s="693">
        <f t="shared" si="8"/>
        <v>40330</v>
      </c>
      <c r="V522" s="694">
        <v>40333</v>
      </c>
      <c r="W522" s="695">
        <v>1961.47</v>
      </c>
    </row>
    <row r="523" spans="21:23">
      <c r="U523" s="693">
        <f t="shared" si="8"/>
        <v>40330</v>
      </c>
      <c r="V523" s="694">
        <v>40334</v>
      </c>
      <c r="W523" s="695">
        <v>1965.83</v>
      </c>
    </row>
    <row r="524" spans="21:23">
      <c r="U524" s="693">
        <f t="shared" si="8"/>
        <v>40330</v>
      </c>
      <c r="V524" s="694">
        <v>40335</v>
      </c>
      <c r="W524" s="695">
        <v>1965.83</v>
      </c>
    </row>
    <row r="525" spans="21:23">
      <c r="U525" s="693">
        <f t="shared" si="8"/>
        <v>40330</v>
      </c>
      <c r="V525" s="694">
        <v>40336</v>
      </c>
      <c r="W525" s="695">
        <v>1965.83</v>
      </c>
    </row>
    <row r="526" spans="21:23">
      <c r="U526" s="693">
        <f t="shared" si="8"/>
        <v>40330</v>
      </c>
      <c r="V526" s="694">
        <v>40337</v>
      </c>
      <c r="W526" s="695">
        <v>1965.83</v>
      </c>
    </row>
    <row r="527" spans="21:23">
      <c r="U527" s="693">
        <f t="shared" si="8"/>
        <v>40330</v>
      </c>
      <c r="V527" s="694">
        <v>40338</v>
      </c>
      <c r="W527" s="695">
        <v>1960.5</v>
      </c>
    </row>
    <row r="528" spans="21:23">
      <c r="U528" s="693">
        <f t="shared" si="8"/>
        <v>40330</v>
      </c>
      <c r="V528" s="694">
        <v>40339</v>
      </c>
      <c r="W528" s="695">
        <v>1943.41</v>
      </c>
    </row>
    <row r="529" spans="21:23">
      <c r="U529" s="693">
        <f t="shared" si="8"/>
        <v>40330</v>
      </c>
      <c r="V529" s="694">
        <v>40340</v>
      </c>
      <c r="W529" s="695">
        <v>1928.83</v>
      </c>
    </row>
    <row r="530" spans="21:23">
      <c r="U530" s="693">
        <f t="shared" si="8"/>
        <v>40330</v>
      </c>
      <c r="V530" s="694">
        <v>40341</v>
      </c>
      <c r="W530" s="695">
        <v>1925.35</v>
      </c>
    </row>
    <row r="531" spans="21:23">
      <c r="U531" s="693">
        <f t="shared" si="8"/>
        <v>40330</v>
      </c>
      <c r="V531" s="694">
        <v>40342</v>
      </c>
      <c r="W531" s="695">
        <v>1925.35</v>
      </c>
    </row>
    <row r="532" spans="21:23">
      <c r="U532" s="693">
        <f t="shared" si="8"/>
        <v>40330</v>
      </c>
      <c r="V532" s="694">
        <v>40343</v>
      </c>
      <c r="W532" s="695">
        <v>1925.35</v>
      </c>
    </row>
    <row r="533" spans="21:23">
      <c r="U533" s="693">
        <f t="shared" si="8"/>
        <v>40330</v>
      </c>
      <c r="V533" s="694">
        <v>40344</v>
      </c>
      <c r="W533" s="695">
        <v>1925.35</v>
      </c>
    </row>
    <row r="534" spans="21:23">
      <c r="U534" s="693">
        <f t="shared" si="8"/>
        <v>40330</v>
      </c>
      <c r="V534" s="694">
        <v>40345</v>
      </c>
      <c r="W534" s="695">
        <v>1917.82</v>
      </c>
    </row>
    <row r="535" spans="21:23">
      <c r="U535" s="693">
        <f t="shared" si="8"/>
        <v>40330</v>
      </c>
      <c r="V535" s="694">
        <v>40346</v>
      </c>
      <c r="W535" s="695">
        <v>1912.29</v>
      </c>
    </row>
    <row r="536" spans="21:23">
      <c r="U536" s="693">
        <f t="shared" si="8"/>
        <v>40330</v>
      </c>
      <c r="V536" s="694">
        <v>40347</v>
      </c>
      <c r="W536" s="695">
        <v>1902.78</v>
      </c>
    </row>
    <row r="537" spans="21:23">
      <c r="U537" s="693">
        <f t="shared" si="8"/>
        <v>40330</v>
      </c>
      <c r="V537" s="694">
        <v>40348</v>
      </c>
      <c r="W537" s="695">
        <v>1906.61</v>
      </c>
    </row>
    <row r="538" spans="21:23">
      <c r="U538" s="693">
        <f t="shared" si="8"/>
        <v>40330</v>
      </c>
      <c r="V538" s="694">
        <v>40349</v>
      </c>
      <c r="W538" s="695">
        <v>1906.61</v>
      </c>
    </row>
    <row r="539" spans="21:23">
      <c r="U539" s="693">
        <f t="shared" si="8"/>
        <v>40330</v>
      </c>
      <c r="V539" s="694">
        <v>40350</v>
      </c>
      <c r="W539" s="695">
        <v>1906.61</v>
      </c>
    </row>
    <row r="540" spans="21:23">
      <c r="U540" s="693">
        <f t="shared" si="8"/>
        <v>40330</v>
      </c>
      <c r="V540" s="694">
        <v>40351</v>
      </c>
      <c r="W540" s="695">
        <v>1889.51</v>
      </c>
    </row>
    <row r="541" spans="21:23">
      <c r="U541" s="693">
        <f t="shared" si="8"/>
        <v>40330</v>
      </c>
      <c r="V541" s="694">
        <v>40352</v>
      </c>
      <c r="W541" s="695">
        <v>1886.05</v>
      </c>
    </row>
    <row r="542" spans="21:23">
      <c r="U542" s="693">
        <f t="shared" si="8"/>
        <v>40330</v>
      </c>
      <c r="V542" s="694">
        <v>40353</v>
      </c>
      <c r="W542" s="695">
        <v>1895.75</v>
      </c>
    </row>
    <row r="543" spans="21:23">
      <c r="U543" s="693">
        <f t="shared" si="8"/>
        <v>40330</v>
      </c>
      <c r="V543" s="694">
        <v>40354</v>
      </c>
      <c r="W543" s="695">
        <v>1896.87</v>
      </c>
    </row>
    <row r="544" spans="21:23">
      <c r="U544" s="693">
        <f t="shared" si="8"/>
        <v>40330</v>
      </c>
      <c r="V544" s="694">
        <v>40355</v>
      </c>
      <c r="W544" s="695">
        <v>1900.36</v>
      </c>
    </row>
    <row r="545" spans="21:23">
      <c r="U545" s="693">
        <f t="shared" si="8"/>
        <v>40330</v>
      </c>
      <c r="V545" s="694">
        <v>40356</v>
      </c>
      <c r="W545" s="695">
        <v>1900.36</v>
      </c>
    </row>
    <row r="546" spans="21:23">
      <c r="U546" s="693">
        <f t="shared" si="8"/>
        <v>40330</v>
      </c>
      <c r="V546" s="694">
        <v>40357</v>
      </c>
      <c r="W546" s="695">
        <v>1900.36</v>
      </c>
    </row>
    <row r="547" spans="21:23">
      <c r="U547" s="693">
        <f t="shared" si="8"/>
        <v>40330</v>
      </c>
      <c r="V547" s="694">
        <v>40358</v>
      </c>
      <c r="W547" s="695">
        <v>1901.65</v>
      </c>
    </row>
    <row r="548" spans="21:23">
      <c r="U548" s="693">
        <f t="shared" si="8"/>
        <v>40330</v>
      </c>
      <c r="V548" s="694">
        <v>40359</v>
      </c>
      <c r="W548" s="695">
        <v>1916.46</v>
      </c>
    </row>
    <row r="549" spans="21:23">
      <c r="U549" s="693">
        <f t="shared" si="8"/>
        <v>40360</v>
      </c>
      <c r="V549" s="694">
        <v>40360</v>
      </c>
      <c r="W549" s="695">
        <v>1913.15</v>
      </c>
    </row>
    <row r="550" spans="21:23">
      <c r="U550" s="693">
        <f t="shared" si="8"/>
        <v>40360</v>
      </c>
      <c r="V550" s="694">
        <v>40361</v>
      </c>
      <c r="W550" s="695">
        <v>1897.33</v>
      </c>
    </row>
    <row r="551" spans="21:23">
      <c r="U551" s="693">
        <f t="shared" si="8"/>
        <v>40360</v>
      </c>
      <c r="V551" s="694">
        <v>40362</v>
      </c>
      <c r="W551" s="695">
        <v>1884.31</v>
      </c>
    </row>
    <row r="552" spans="21:23">
      <c r="U552" s="693">
        <f t="shared" si="8"/>
        <v>40360</v>
      </c>
      <c r="V552" s="694">
        <v>40363</v>
      </c>
      <c r="W552" s="695">
        <v>1884.31</v>
      </c>
    </row>
    <row r="553" spans="21:23">
      <c r="U553" s="693">
        <f t="shared" si="8"/>
        <v>40360</v>
      </c>
      <c r="V553" s="694">
        <v>40364</v>
      </c>
      <c r="W553" s="695">
        <v>1884.31</v>
      </c>
    </row>
    <row r="554" spans="21:23">
      <c r="U554" s="693">
        <f t="shared" si="8"/>
        <v>40360</v>
      </c>
      <c r="V554" s="694">
        <v>40365</v>
      </c>
      <c r="W554" s="695">
        <v>1884.31</v>
      </c>
    </row>
    <row r="555" spans="21:23">
      <c r="U555" s="693">
        <f t="shared" si="8"/>
        <v>40360</v>
      </c>
      <c r="V555" s="694">
        <v>40366</v>
      </c>
      <c r="W555" s="695">
        <v>1882.47</v>
      </c>
    </row>
    <row r="556" spans="21:23">
      <c r="U556" s="693">
        <f t="shared" si="8"/>
        <v>40360</v>
      </c>
      <c r="V556" s="694">
        <v>40367</v>
      </c>
      <c r="W556" s="695">
        <v>1901.38</v>
      </c>
    </row>
    <row r="557" spans="21:23">
      <c r="U557" s="693">
        <f t="shared" si="8"/>
        <v>40360</v>
      </c>
      <c r="V557" s="694">
        <v>40368</v>
      </c>
      <c r="W557" s="695">
        <v>1889.61</v>
      </c>
    </row>
    <row r="558" spans="21:23">
      <c r="U558" s="693">
        <f t="shared" si="8"/>
        <v>40360</v>
      </c>
      <c r="V558" s="694">
        <v>40369</v>
      </c>
      <c r="W558" s="695">
        <v>1877.66</v>
      </c>
    </row>
    <row r="559" spans="21:23">
      <c r="U559" s="693">
        <f t="shared" si="8"/>
        <v>40360</v>
      </c>
      <c r="V559" s="694">
        <v>40370</v>
      </c>
      <c r="W559" s="695">
        <v>1877.66</v>
      </c>
    </row>
    <row r="560" spans="21:23">
      <c r="U560" s="693">
        <f t="shared" si="8"/>
        <v>40360</v>
      </c>
      <c r="V560" s="694">
        <v>40371</v>
      </c>
      <c r="W560" s="695">
        <v>1877.66</v>
      </c>
    </row>
    <row r="561" spans="21:23">
      <c r="U561" s="693">
        <f t="shared" si="8"/>
        <v>40360</v>
      </c>
      <c r="V561" s="694">
        <v>40372</v>
      </c>
      <c r="W561" s="695">
        <v>1877.2</v>
      </c>
    </row>
    <row r="562" spans="21:23">
      <c r="U562" s="693">
        <f t="shared" si="8"/>
        <v>40360</v>
      </c>
      <c r="V562" s="694">
        <v>40373</v>
      </c>
      <c r="W562" s="695">
        <v>1871.19</v>
      </c>
    </row>
    <row r="563" spans="21:23">
      <c r="U563" s="693">
        <f t="shared" si="8"/>
        <v>40360</v>
      </c>
      <c r="V563" s="694">
        <v>40374</v>
      </c>
      <c r="W563" s="695">
        <v>1873.87</v>
      </c>
    </row>
    <row r="564" spans="21:23">
      <c r="U564" s="693">
        <f t="shared" si="8"/>
        <v>40360</v>
      </c>
      <c r="V564" s="694">
        <v>40375</v>
      </c>
      <c r="W564" s="695">
        <v>1871.96</v>
      </c>
    </row>
    <row r="565" spans="21:23">
      <c r="U565" s="693">
        <f t="shared" si="8"/>
        <v>40360</v>
      </c>
      <c r="V565" s="694">
        <v>40376</v>
      </c>
      <c r="W565" s="695">
        <v>1878.77</v>
      </c>
    </row>
    <row r="566" spans="21:23">
      <c r="U566" s="693">
        <f t="shared" si="8"/>
        <v>40360</v>
      </c>
      <c r="V566" s="694">
        <v>40377</v>
      </c>
      <c r="W566" s="695">
        <v>1878.77</v>
      </c>
    </row>
    <row r="567" spans="21:23">
      <c r="U567" s="693">
        <f t="shared" si="8"/>
        <v>40360</v>
      </c>
      <c r="V567" s="694">
        <v>40378</v>
      </c>
      <c r="W567" s="695">
        <v>1878.77</v>
      </c>
    </row>
    <row r="568" spans="21:23">
      <c r="U568" s="693">
        <f t="shared" si="8"/>
        <v>40360</v>
      </c>
      <c r="V568" s="694">
        <v>40379</v>
      </c>
      <c r="W568" s="695">
        <v>1872.92</v>
      </c>
    </row>
    <row r="569" spans="21:23">
      <c r="U569" s="693">
        <f t="shared" si="8"/>
        <v>40360</v>
      </c>
      <c r="V569" s="694">
        <v>40380</v>
      </c>
      <c r="W569" s="695">
        <v>1872.92</v>
      </c>
    </row>
    <row r="570" spans="21:23">
      <c r="U570" s="693">
        <f t="shared" si="8"/>
        <v>40360</v>
      </c>
      <c r="V570" s="694">
        <v>40381</v>
      </c>
      <c r="W570" s="695">
        <v>1867.07</v>
      </c>
    </row>
    <row r="571" spans="21:23">
      <c r="U571" s="693">
        <f t="shared" si="8"/>
        <v>40360</v>
      </c>
      <c r="V571" s="694">
        <v>40382</v>
      </c>
      <c r="W571" s="695">
        <v>1864.04</v>
      </c>
    </row>
    <row r="572" spans="21:23">
      <c r="U572" s="693">
        <f t="shared" si="8"/>
        <v>40360</v>
      </c>
      <c r="V572" s="694">
        <v>40383</v>
      </c>
      <c r="W572" s="695">
        <v>1867.47</v>
      </c>
    </row>
    <row r="573" spans="21:23">
      <c r="U573" s="693">
        <f t="shared" si="8"/>
        <v>40360</v>
      </c>
      <c r="V573" s="694">
        <v>40384</v>
      </c>
      <c r="W573" s="695">
        <v>1867.47</v>
      </c>
    </row>
    <row r="574" spans="21:23">
      <c r="U574" s="693">
        <f t="shared" si="8"/>
        <v>40360</v>
      </c>
      <c r="V574" s="694">
        <v>40385</v>
      </c>
      <c r="W574" s="695">
        <v>1867.47</v>
      </c>
    </row>
    <row r="575" spans="21:23">
      <c r="U575" s="693">
        <f t="shared" si="8"/>
        <v>40360</v>
      </c>
      <c r="V575" s="694">
        <v>40386</v>
      </c>
      <c r="W575" s="695">
        <v>1859.5</v>
      </c>
    </row>
    <row r="576" spans="21:23">
      <c r="U576" s="693">
        <f t="shared" si="8"/>
        <v>40360</v>
      </c>
      <c r="V576" s="694">
        <v>40387</v>
      </c>
      <c r="W576" s="695">
        <v>1852.83</v>
      </c>
    </row>
    <row r="577" spans="21:23">
      <c r="U577" s="693">
        <f t="shared" si="8"/>
        <v>40360</v>
      </c>
      <c r="V577" s="694">
        <v>40388</v>
      </c>
      <c r="W577" s="695">
        <v>1846.23</v>
      </c>
    </row>
    <row r="578" spans="21:23">
      <c r="U578" s="693">
        <f t="shared" si="8"/>
        <v>40360</v>
      </c>
      <c r="V578" s="694">
        <v>40389</v>
      </c>
      <c r="W578" s="695">
        <v>1841.35</v>
      </c>
    </row>
    <row r="579" spans="21:23">
      <c r="U579" s="693">
        <f t="shared" ref="U579:U642" si="9">+DATE(YEAR(V579),MONTH(V579),1)</f>
        <v>40360</v>
      </c>
      <c r="V579" s="694">
        <v>40390</v>
      </c>
      <c r="W579" s="695">
        <v>1842.79</v>
      </c>
    </row>
    <row r="580" spans="21:23">
      <c r="U580" s="693">
        <f t="shared" si="9"/>
        <v>40391</v>
      </c>
      <c r="V580" s="694">
        <v>40391</v>
      </c>
      <c r="W580" s="695">
        <v>1842.79</v>
      </c>
    </row>
    <row r="581" spans="21:23">
      <c r="U581" s="693">
        <f t="shared" si="9"/>
        <v>40391</v>
      </c>
      <c r="V581" s="694">
        <v>40392</v>
      </c>
      <c r="W581" s="695">
        <v>1842.79</v>
      </c>
    </row>
    <row r="582" spans="21:23">
      <c r="U582" s="693">
        <f t="shared" si="9"/>
        <v>40391</v>
      </c>
      <c r="V582" s="694">
        <v>40393</v>
      </c>
      <c r="W582" s="695">
        <v>1832.45</v>
      </c>
    </row>
    <row r="583" spans="21:23">
      <c r="U583" s="693">
        <f t="shared" si="9"/>
        <v>40391</v>
      </c>
      <c r="V583" s="694">
        <v>40394</v>
      </c>
      <c r="W583" s="695">
        <v>1834.58</v>
      </c>
    </row>
    <row r="584" spans="21:23">
      <c r="U584" s="693">
        <f t="shared" si="9"/>
        <v>40391</v>
      </c>
      <c r="V584" s="694">
        <v>40395</v>
      </c>
      <c r="W584" s="695">
        <v>1824.52</v>
      </c>
    </row>
    <row r="585" spans="21:23">
      <c r="U585" s="693">
        <f t="shared" si="9"/>
        <v>40391</v>
      </c>
      <c r="V585" s="694">
        <v>40396</v>
      </c>
      <c r="W585" s="695">
        <v>1818.5</v>
      </c>
    </row>
    <row r="586" spans="21:23">
      <c r="U586" s="693">
        <f t="shared" si="9"/>
        <v>40391</v>
      </c>
      <c r="V586" s="694">
        <v>40397</v>
      </c>
      <c r="W586" s="695">
        <v>1815.46</v>
      </c>
    </row>
    <row r="587" spans="21:23">
      <c r="U587" s="693">
        <f t="shared" si="9"/>
        <v>40391</v>
      </c>
      <c r="V587" s="694">
        <v>40398</v>
      </c>
      <c r="W587" s="695">
        <v>1815.46</v>
      </c>
    </row>
    <row r="588" spans="21:23">
      <c r="U588" s="693">
        <f t="shared" si="9"/>
        <v>40391</v>
      </c>
      <c r="V588" s="694">
        <v>40399</v>
      </c>
      <c r="W588" s="695">
        <v>1815.46</v>
      </c>
    </row>
    <row r="589" spans="21:23">
      <c r="U589" s="693">
        <f t="shared" si="9"/>
        <v>40391</v>
      </c>
      <c r="V589" s="694">
        <v>40400</v>
      </c>
      <c r="W589" s="695">
        <v>1808.93</v>
      </c>
    </row>
    <row r="590" spans="21:23">
      <c r="U590" s="693">
        <f t="shared" si="9"/>
        <v>40391</v>
      </c>
      <c r="V590" s="694">
        <v>40401</v>
      </c>
      <c r="W590" s="695">
        <v>1810.12</v>
      </c>
    </row>
    <row r="591" spans="21:23">
      <c r="U591" s="693">
        <f t="shared" si="9"/>
        <v>40391</v>
      </c>
      <c r="V591" s="694">
        <v>40402</v>
      </c>
      <c r="W591" s="695">
        <v>1807.55</v>
      </c>
    </row>
    <row r="592" spans="21:23">
      <c r="U592" s="693">
        <f t="shared" si="9"/>
        <v>40391</v>
      </c>
      <c r="V592" s="694">
        <v>40403</v>
      </c>
      <c r="W592" s="695">
        <v>1812.2</v>
      </c>
    </row>
    <row r="593" spans="21:23">
      <c r="U593" s="693">
        <f t="shared" si="9"/>
        <v>40391</v>
      </c>
      <c r="V593" s="694">
        <v>40404</v>
      </c>
      <c r="W593" s="695">
        <v>1835.32</v>
      </c>
    </row>
    <row r="594" spans="21:23">
      <c r="U594" s="693">
        <f t="shared" si="9"/>
        <v>40391</v>
      </c>
      <c r="V594" s="694">
        <v>40405</v>
      </c>
      <c r="W594" s="695">
        <v>1835.32</v>
      </c>
    </row>
    <row r="595" spans="21:23">
      <c r="U595" s="693">
        <f t="shared" si="9"/>
        <v>40391</v>
      </c>
      <c r="V595" s="694">
        <v>40406</v>
      </c>
      <c r="W595" s="695">
        <v>1835.32</v>
      </c>
    </row>
    <row r="596" spans="21:23">
      <c r="U596" s="693">
        <f t="shared" si="9"/>
        <v>40391</v>
      </c>
      <c r="V596" s="694">
        <v>40407</v>
      </c>
      <c r="W596" s="695">
        <v>1835.32</v>
      </c>
    </row>
    <row r="597" spans="21:23">
      <c r="U597" s="693">
        <f t="shared" si="9"/>
        <v>40391</v>
      </c>
      <c r="V597" s="694">
        <v>40408</v>
      </c>
      <c r="W597" s="695">
        <v>1810.75</v>
      </c>
    </row>
    <row r="598" spans="21:23">
      <c r="U598" s="693">
        <f t="shared" si="9"/>
        <v>40391</v>
      </c>
      <c r="V598" s="694">
        <v>40409</v>
      </c>
      <c r="W598" s="695">
        <v>1808.14</v>
      </c>
    </row>
    <row r="599" spans="21:23">
      <c r="U599" s="693">
        <f t="shared" si="9"/>
        <v>40391</v>
      </c>
      <c r="V599" s="694">
        <v>40410</v>
      </c>
      <c r="W599" s="695">
        <v>1819.13</v>
      </c>
    </row>
    <row r="600" spans="21:23">
      <c r="U600" s="693">
        <f t="shared" si="9"/>
        <v>40391</v>
      </c>
      <c r="V600" s="694">
        <v>40411</v>
      </c>
      <c r="W600" s="695">
        <v>1820.93</v>
      </c>
    </row>
    <row r="601" spans="21:23">
      <c r="U601" s="693">
        <f t="shared" si="9"/>
        <v>40391</v>
      </c>
      <c r="V601" s="694">
        <v>40412</v>
      </c>
      <c r="W601" s="695">
        <v>1820.93</v>
      </c>
    </row>
    <row r="602" spans="21:23">
      <c r="U602" s="693">
        <f t="shared" si="9"/>
        <v>40391</v>
      </c>
      <c r="V602" s="694">
        <v>40413</v>
      </c>
      <c r="W602" s="695">
        <v>1820.93</v>
      </c>
    </row>
    <row r="603" spans="21:23">
      <c r="U603" s="693">
        <f t="shared" si="9"/>
        <v>40391</v>
      </c>
      <c r="V603" s="694">
        <v>40414</v>
      </c>
      <c r="W603" s="695">
        <v>1806.93</v>
      </c>
    </row>
    <row r="604" spans="21:23">
      <c r="U604" s="693">
        <f t="shared" si="9"/>
        <v>40391</v>
      </c>
      <c r="V604" s="694">
        <v>40415</v>
      </c>
      <c r="W604" s="695">
        <v>1818.86</v>
      </c>
    </row>
    <row r="605" spans="21:23">
      <c r="U605" s="693">
        <f t="shared" si="9"/>
        <v>40391</v>
      </c>
      <c r="V605" s="694">
        <v>40416</v>
      </c>
      <c r="W605" s="695">
        <v>1820.29</v>
      </c>
    </row>
    <row r="606" spans="21:23">
      <c r="U606" s="693">
        <f t="shared" si="9"/>
        <v>40391</v>
      </c>
      <c r="V606" s="694">
        <v>40417</v>
      </c>
      <c r="W606" s="695">
        <v>1811.46</v>
      </c>
    </row>
    <row r="607" spans="21:23">
      <c r="U607" s="693">
        <f t="shared" si="9"/>
        <v>40391</v>
      </c>
      <c r="V607" s="694">
        <v>40418</v>
      </c>
      <c r="W607" s="695">
        <v>1817.68</v>
      </c>
    </row>
    <row r="608" spans="21:23">
      <c r="U608" s="693">
        <f t="shared" si="9"/>
        <v>40391</v>
      </c>
      <c r="V608" s="694">
        <v>40419</v>
      </c>
      <c r="W608" s="695">
        <v>1817.68</v>
      </c>
    </row>
    <row r="609" spans="21:23">
      <c r="U609" s="693">
        <f t="shared" si="9"/>
        <v>40391</v>
      </c>
      <c r="V609" s="694">
        <v>40420</v>
      </c>
      <c r="W609" s="695">
        <v>1817.68</v>
      </c>
    </row>
    <row r="610" spans="21:23">
      <c r="U610" s="693">
        <f t="shared" si="9"/>
        <v>40391</v>
      </c>
      <c r="V610" s="694">
        <v>40421</v>
      </c>
      <c r="W610" s="695">
        <v>1823.74</v>
      </c>
    </row>
    <row r="611" spans="21:23">
      <c r="U611" s="693">
        <f t="shared" si="9"/>
        <v>40422</v>
      </c>
      <c r="V611" s="694">
        <v>40422</v>
      </c>
      <c r="W611" s="695">
        <v>1826.31</v>
      </c>
    </row>
    <row r="612" spans="21:23">
      <c r="U612" s="693">
        <f t="shared" si="9"/>
        <v>40422</v>
      </c>
      <c r="V612" s="694">
        <v>40423</v>
      </c>
      <c r="W612" s="695">
        <v>1815.09</v>
      </c>
    </row>
    <row r="613" spans="21:23">
      <c r="U613" s="693">
        <f t="shared" si="9"/>
        <v>40422</v>
      </c>
      <c r="V613" s="694">
        <v>40424</v>
      </c>
      <c r="W613" s="695">
        <v>1810.65</v>
      </c>
    </row>
    <row r="614" spans="21:23">
      <c r="U614" s="693">
        <f t="shared" si="9"/>
        <v>40422</v>
      </c>
      <c r="V614" s="694">
        <v>40425</v>
      </c>
      <c r="W614" s="695">
        <v>1807.73</v>
      </c>
    </row>
    <row r="615" spans="21:23">
      <c r="U615" s="693">
        <f t="shared" si="9"/>
        <v>40422</v>
      </c>
      <c r="V615" s="694">
        <v>40426</v>
      </c>
      <c r="W615" s="695">
        <v>1807.73</v>
      </c>
    </row>
    <row r="616" spans="21:23">
      <c r="U616" s="693">
        <f t="shared" si="9"/>
        <v>40422</v>
      </c>
      <c r="V616" s="694">
        <v>40427</v>
      </c>
      <c r="W616" s="695">
        <v>1807.73</v>
      </c>
    </row>
    <row r="617" spans="21:23">
      <c r="U617" s="693">
        <f t="shared" si="9"/>
        <v>40422</v>
      </c>
      <c r="V617" s="694">
        <v>40428</v>
      </c>
      <c r="W617" s="695">
        <v>1807.73</v>
      </c>
    </row>
    <row r="618" spans="21:23">
      <c r="U618" s="693">
        <f t="shared" si="9"/>
        <v>40422</v>
      </c>
      <c r="V618" s="694">
        <v>40429</v>
      </c>
      <c r="W618" s="695">
        <v>1808.65</v>
      </c>
    </row>
    <row r="619" spans="21:23">
      <c r="U619" s="693">
        <f t="shared" si="9"/>
        <v>40422</v>
      </c>
      <c r="V619" s="694">
        <v>40430</v>
      </c>
      <c r="W619" s="695">
        <v>1803</v>
      </c>
    </row>
    <row r="620" spans="21:23">
      <c r="U620" s="693">
        <f t="shared" si="9"/>
        <v>40422</v>
      </c>
      <c r="V620" s="694">
        <v>40431</v>
      </c>
      <c r="W620" s="695">
        <v>1802.54</v>
      </c>
    </row>
    <row r="621" spans="21:23">
      <c r="U621" s="693">
        <f t="shared" si="9"/>
        <v>40422</v>
      </c>
      <c r="V621" s="694">
        <v>40432</v>
      </c>
      <c r="W621" s="695">
        <v>1801.04</v>
      </c>
    </row>
    <row r="622" spans="21:23">
      <c r="U622" s="693">
        <f t="shared" si="9"/>
        <v>40422</v>
      </c>
      <c r="V622" s="694">
        <v>40433</v>
      </c>
      <c r="W622" s="695">
        <v>1801.04</v>
      </c>
    </row>
    <row r="623" spans="21:23">
      <c r="U623" s="693">
        <f t="shared" si="9"/>
        <v>40422</v>
      </c>
      <c r="V623" s="694">
        <v>40434</v>
      </c>
      <c r="W623" s="695">
        <v>1801.04</v>
      </c>
    </row>
    <row r="624" spans="21:23">
      <c r="U624" s="693">
        <f t="shared" si="9"/>
        <v>40422</v>
      </c>
      <c r="V624" s="694">
        <v>40435</v>
      </c>
      <c r="W624" s="695">
        <v>1793.28</v>
      </c>
    </row>
    <row r="625" spans="21:23">
      <c r="U625" s="693">
        <f t="shared" si="9"/>
        <v>40422</v>
      </c>
      <c r="V625" s="694">
        <v>40436</v>
      </c>
      <c r="W625" s="695">
        <v>1788.05</v>
      </c>
    </row>
    <row r="626" spans="21:23">
      <c r="U626" s="693">
        <f t="shared" si="9"/>
        <v>40422</v>
      </c>
      <c r="V626" s="694">
        <v>40437</v>
      </c>
      <c r="W626" s="695">
        <v>1806.78</v>
      </c>
    </row>
    <row r="627" spans="21:23">
      <c r="U627" s="693">
        <f t="shared" si="9"/>
        <v>40422</v>
      </c>
      <c r="V627" s="694">
        <v>40438</v>
      </c>
      <c r="W627" s="695">
        <v>1811.55</v>
      </c>
    </row>
    <row r="628" spans="21:23">
      <c r="U628" s="693">
        <f t="shared" si="9"/>
        <v>40422</v>
      </c>
      <c r="V628" s="694">
        <v>40439</v>
      </c>
      <c r="W628" s="695">
        <v>1806.76</v>
      </c>
    </row>
    <row r="629" spans="21:23">
      <c r="U629" s="693">
        <f t="shared" si="9"/>
        <v>40422</v>
      </c>
      <c r="V629" s="694">
        <v>40440</v>
      </c>
      <c r="W629" s="695">
        <v>1806.76</v>
      </c>
    </row>
    <row r="630" spans="21:23">
      <c r="U630" s="693">
        <f t="shared" si="9"/>
        <v>40422</v>
      </c>
      <c r="V630" s="694">
        <v>40441</v>
      </c>
      <c r="W630" s="695">
        <v>1806.76</v>
      </c>
    </row>
    <row r="631" spans="21:23">
      <c r="U631" s="693">
        <f t="shared" si="9"/>
        <v>40422</v>
      </c>
      <c r="V631" s="694">
        <v>40442</v>
      </c>
      <c r="W631" s="695">
        <v>1798.73</v>
      </c>
    </row>
    <row r="632" spans="21:23">
      <c r="U632" s="693">
        <f t="shared" si="9"/>
        <v>40422</v>
      </c>
      <c r="V632" s="694">
        <v>40443</v>
      </c>
      <c r="W632" s="695">
        <v>1805.31</v>
      </c>
    </row>
    <row r="633" spans="21:23">
      <c r="U633" s="693">
        <f t="shared" si="9"/>
        <v>40422</v>
      </c>
      <c r="V633" s="694">
        <v>40444</v>
      </c>
      <c r="W633" s="695">
        <v>1803.71</v>
      </c>
    </row>
    <row r="634" spans="21:23">
      <c r="U634" s="693">
        <f t="shared" si="9"/>
        <v>40422</v>
      </c>
      <c r="V634" s="694">
        <v>40445</v>
      </c>
      <c r="W634" s="695">
        <v>1810.72</v>
      </c>
    </row>
    <row r="635" spans="21:23">
      <c r="U635" s="693">
        <f t="shared" si="9"/>
        <v>40422</v>
      </c>
      <c r="V635" s="694">
        <v>40446</v>
      </c>
      <c r="W635" s="695">
        <v>1809.46</v>
      </c>
    </row>
    <row r="636" spans="21:23">
      <c r="U636" s="693">
        <f t="shared" si="9"/>
        <v>40422</v>
      </c>
      <c r="V636" s="694">
        <v>40447</v>
      </c>
      <c r="W636" s="695">
        <v>1809.46</v>
      </c>
    </row>
    <row r="637" spans="21:23">
      <c r="U637" s="693">
        <f t="shared" si="9"/>
        <v>40422</v>
      </c>
      <c r="V637" s="694">
        <v>40448</v>
      </c>
      <c r="W637" s="695">
        <v>1809.46</v>
      </c>
    </row>
    <row r="638" spans="21:23">
      <c r="U638" s="693">
        <f t="shared" si="9"/>
        <v>40422</v>
      </c>
      <c r="V638" s="694">
        <v>40449</v>
      </c>
      <c r="W638" s="695">
        <v>1802.15</v>
      </c>
    </row>
    <row r="639" spans="21:23">
      <c r="U639" s="693">
        <f t="shared" si="9"/>
        <v>40422</v>
      </c>
      <c r="V639" s="694">
        <v>40450</v>
      </c>
      <c r="W639" s="695">
        <v>1804.06</v>
      </c>
    </row>
    <row r="640" spans="21:23">
      <c r="U640" s="693">
        <f t="shared" si="9"/>
        <v>40422</v>
      </c>
      <c r="V640" s="694">
        <v>40451</v>
      </c>
      <c r="W640" s="695">
        <v>1799.89</v>
      </c>
    </row>
    <row r="641" spans="21:23">
      <c r="U641" s="693">
        <f t="shared" si="9"/>
        <v>40452</v>
      </c>
      <c r="V641" s="694">
        <v>40452</v>
      </c>
      <c r="W641" s="695">
        <v>1801.01</v>
      </c>
    </row>
    <row r="642" spans="21:23">
      <c r="U642" s="693">
        <f t="shared" si="9"/>
        <v>40452</v>
      </c>
      <c r="V642" s="694">
        <v>40453</v>
      </c>
      <c r="W642" s="695">
        <v>1795.93</v>
      </c>
    </row>
    <row r="643" spans="21:23">
      <c r="U643" s="693">
        <f t="shared" ref="U643:U706" si="10">+DATE(YEAR(V643),MONTH(V643),1)</f>
        <v>40452</v>
      </c>
      <c r="V643" s="694">
        <v>40454</v>
      </c>
      <c r="W643" s="695">
        <v>1795.93</v>
      </c>
    </row>
    <row r="644" spans="21:23">
      <c r="U644" s="693">
        <f t="shared" si="10"/>
        <v>40452</v>
      </c>
      <c r="V644" s="694">
        <v>40455</v>
      </c>
      <c r="W644" s="695">
        <v>1795.93</v>
      </c>
    </row>
    <row r="645" spans="21:23">
      <c r="U645" s="693">
        <f t="shared" si="10"/>
        <v>40452</v>
      </c>
      <c r="V645" s="694">
        <v>40456</v>
      </c>
      <c r="W645" s="695">
        <v>1802.09</v>
      </c>
    </row>
    <row r="646" spans="21:23">
      <c r="U646" s="693">
        <f t="shared" si="10"/>
        <v>40452</v>
      </c>
      <c r="V646" s="694">
        <v>40457</v>
      </c>
      <c r="W646" s="695">
        <v>1802.43</v>
      </c>
    </row>
    <row r="647" spans="21:23">
      <c r="U647" s="693">
        <f t="shared" si="10"/>
        <v>40452</v>
      </c>
      <c r="V647" s="694">
        <v>40458</v>
      </c>
      <c r="W647" s="695">
        <v>1796.29</v>
      </c>
    </row>
    <row r="648" spans="21:23">
      <c r="U648" s="693">
        <f t="shared" si="10"/>
        <v>40452</v>
      </c>
      <c r="V648" s="694">
        <v>40459</v>
      </c>
      <c r="W648" s="695">
        <v>1786.2</v>
      </c>
    </row>
    <row r="649" spans="21:23">
      <c r="U649" s="693">
        <f t="shared" si="10"/>
        <v>40452</v>
      </c>
      <c r="V649" s="694">
        <v>40460</v>
      </c>
      <c r="W649" s="695">
        <v>1786.37</v>
      </c>
    </row>
    <row r="650" spans="21:23">
      <c r="U650" s="693">
        <f t="shared" si="10"/>
        <v>40452</v>
      </c>
      <c r="V650" s="694">
        <v>40461</v>
      </c>
      <c r="W650" s="695">
        <v>1786.37</v>
      </c>
    </row>
    <row r="651" spans="21:23">
      <c r="U651" s="693">
        <f t="shared" si="10"/>
        <v>40452</v>
      </c>
      <c r="V651" s="694">
        <v>40462</v>
      </c>
      <c r="W651" s="695">
        <v>1786.37</v>
      </c>
    </row>
    <row r="652" spans="21:23">
      <c r="U652" s="693">
        <f t="shared" si="10"/>
        <v>40452</v>
      </c>
      <c r="V652" s="694">
        <v>40463</v>
      </c>
      <c r="W652" s="695">
        <v>1786.37</v>
      </c>
    </row>
    <row r="653" spans="21:23">
      <c r="U653" s="693">
        <f t="shared" si="10"/>
        <v>40452</v>
      </c>
      <c r="V653" s="694">
        <v>40464</v>
      </c>
      <c r="W653" s="695">
        <v>1786.77</v>
      </c>
    </row>
    <row r="654" spans="21:23">
      <c r="U654" s="693">
        <f t="shared" si="10"/>
        <v>40452</v>
      </c>
      <c r="V654" s="694">
        <v>40465</v>
      </c>
      <c r="W654" s="695">
        <v>1791.56</v>
      </c>
    </row>
    <row r="655" spans="21:23">
      <c r="U655" s="693">
        <f t="shared" si="10"/>
        <v>40452</v>
      </c>
      <c r="V655" s="694">
        <v>40466</v>
      </c>
      <c r="W655" s="695">
        <v>1801.2</v>
      </c>
    </row>
    <row r="656" spans="21:23">
      <c r="U656" s="693">
        <f t="shared" si="10"/>
        <v>40452</v>
      </c>
      <c r="V656" s="694">
        <v>40467</v>
      </c>
      <c r="W656" s="695">
        <v>1807.88</v>
      </c>
    </row>
    <row r="657" spans="21:23">
      <c r="U657" s="693">
        <f t="shared" si="10"/>
        <v>40452</v>
      </c>
      <c r="V657" s="694">
        <v>40468</v>
      </c>
      <c r="W657" s="695">
        <v>1807.88</v>
      </c>
    </row>
    <row r="658" spans="21:23">
      <c r="U658" s="693">
        <f t="shared" si="10"/>
        <v>40452</v>
      </c>
      <c r="V658" s="694">
        <v>40469</v>
      </c>
      <c r="W658" s="695">
        <v>1807.88</v>
      </c>
    </row>
    <row r="659" spans="21:23">
      <c r="U659" s="693">
        <f t="shared" si="10"/>
        <v>40452</v>
      </c>
      <c r="V659" s="694">
        <v>40470</v>
      </c>
      <c r="W659" s="695">
        <v>1807.88</v>
      </c>
    </row>
    <row r="660" spans="21:23">
      <c r="U660" s="693">
        <f t="shared" si="10"/>
        <v>40452</v>
      </c>
      <c r="V660" s="694">
        <v>40471</v>
      </c>
      <c r="W660" s="695">
        <v>1817.45</v>
      </c>
    </row>
    <row r="661" spans="21:23">
      <c r="U661" s="693">
        <f t="shared" si="10"/>
        <v>40452</v>
      </c>
      <c r="V661" s="694">
        <v>40472</v>
      </c>
      <c r="W661" s="695">
        <v>1812.6</v>
      </c>
    </row>
    <row r="662" spans="21:23">
      <c r="U662" s="693">
        <f t="shared" si="10"/>
        <v>40452</v>
      </c>
      <c r="V662" s="694">
        <v>40473</v>
      </c>
      <c r="W662" s="695">
        <v>1816.28</v>
      </c>
    </row>
    <row r="663" spans="21:23">
      <c r="U663" s="693">
        <f t="shared" si="10"/>
        <v>40452</v>
      </c>
      <c r="V663" s="694">
        <v>40474</v>
      </c>
      <c r="W663" s="695">
        <v>1823.05</v>
      </c>
    </row>
    <row r="664" spans="21:23">
      <c r="U664" s="693">
        <f t="shared" si="10"/>
        <v>40452</v>
      </c>
      <c r="V664" s="694">
        <v>40475</v>
      </c>
      <c r="W664" s="695">
        <v>1823.05</v>
      </c>
    </row>
    <row r="665" spans="21:23">
      <c r="U665" s="693">
        <f t="shared" si="10"/>
        <v>40452</v>
      </c>
      <c r="V665" s="694">
        <v>40476</v>
      </c>
      <c r="W665" s="695">
        <v>1823.05</v>
      </c>
    </row>
    <row r="666" spans="21:23">
      <c r="U666" s="693">
        <f t="shared" si="10"/>
        <v>40452</v>
      </c>
      <c r="V666" s="694">
        <v>40477</v>
      </c>
      <c r="W666" s="695">
        <v>1830.96</v>
      </c>
    </row>
    <row r="667" spans="21:23">
      <c r="U667" s="693">
        <f t="shared" si="10"/>
        <v>40452</v>
      </c>
      <c r="V667" s="694">
        <v>40478</v>
      </c>
      <c r="W667" s="695">
        <v>1838.45</v>
      </c>
    </row>
    <row r="668" spans="21:23">
      <c r="U668" s="693">
        <f t="shared" si="10"/>
        <v>40452</v>
      </c>
      <c r="V668" s="694">
        <v>40479</v>
      </c>
      <c r="W668" s="695">
        <v>1846.41</v>
      </c>
    </row>
    <row r="669" spans="21:23">
      <c r="U669" s="693">
        <f t="shared" si="10"/>
        <v>40452</v>
      </c>
      <c r="V669" s="694">
        <v>40480</v>
      </c>
      <c r="W669" s="695">
        <v>1839.9</v>
      </c>
    </row>
    <row r="670" spans="21:23">
      <c r="U670" s="693">
        <f t="shared" si="10"/>
        <v>40452</v>
      </c>
      <c r="V670" s="694">
        <v>40481</v>
      </c>
      <c r="W670" s="695">
        <v>1831.64</v>
      </c>
    </row>
    <row r="671" spans="21:23">
      <c r="U671" s="693">
        <f t="shared" si="10"/>
        <v>40452</v>
      </c>
      <c r="V671" s="694">
        <v>40482</v>
      </c>
      <c r="W671" s="695">
        <v>1831.64</v>
      </c>
    </row>
    <row r="672" spans="21:23">
      <c r="U672" s="693">
        <f t="shared" si="10"/>
        <v>40483</v>
      </c>
      <c r="V672" s="694">
        <v>40483</v>
      </c>
      <c r="W672" s="695">
        <v>1831.64</v>
      </c>
    </row>
    <row r="673" spans="21:23">
      <c r="U673" s="693">
        <f t="shared" si="10"/>
        <v>40483</v>
      </c>
      <c r="V673" s="694">
        <v>40484</v>
      </c>
      <c r="W673" s="695">
        <v>1831.64</v>
      </c>
    </row>
    <row r="674" spans="21:23">
      <c r="U674" s="693">
        <f t="shared" si="10"/>
        <v>40483</v>
      </c>
      <c r="V674" s="694">
        <v>40485</v>
      </c>
      <c r="W674" s="695">
        <v>1845.51</v>
      </c>
    </row>
    <row r="675" spans="21:23">
      <c r="U675" s="693">
        <f t="shared" si="10"/>
        <v>40483</v>
      </c>
      <c r="V675" s="694">
        <v>40486</v>
      </c>
      <c r="W675" s="695">
        <v>1840.51</v>
      </c>
    </row>
    <row r="676" spans="21:23">
      <c r="U676" s="693">
        <f t="shared" si="10"/>
        <v>40483</v>
      </c>
      <c r="V676" s="694">
        <v>40487</v>
      </c>
      <c r="W676" s="695">
        <v>1821.05</v>
      </c>
    </row>
    <row r="677" spans="21:23">
      <c r="U677" s="693">
        <f t="shared" si="10"/>
        <v>40483</v>
      </c>
      <c r="V677" s="694">
        <v>40488</v>
      </c>
      <c r="W677" s="695">
        <v>1817.7</v>
      </c>
    </row>
    <row r="678" spans="21:23">
      <c r="U678" s="693">
        <f t="shared" si="10"/>
        <v>40483</v>
      </c>
      <c r="V678" s="694">
        <v>40489</v>
      </c>
      <c r="W678" s="695">
        <v>1817.7</v>
      </c>
    </row>
    <row r="679" spans="21:23">
      <c r="U679" s="693">
        <f t="shared" si="10"/>
        <v>40483</v>
      </c>
      <c r="V679" s="694">
        <v>40490</v>
      </c>
      <c r="W679" s="695">
        <v>1817.7</v>
      </c>
    </row>
    <row r="680" spans="21:23">
      <c r="U680" s="693">
        <f t="shared" si="10"/>
        <v>40483</v>
      </c>
      <c r="V680" s="694">
        <v>40491</v>
      </c>
      <c r="W680" s="695">
        <v>1828.28</v>
      </c>
    </row>
    <row r="681" spans="21:23">
      <c r="U681" s="693">
        <f t="shared" si="10"/>
        <v>40483</v>
      </c>
      <c r="V681" s="694">
        <v>40492</v>
      </c>
      <c r="W681" s="695">
        <v>1836.27</v>
      </c>
    </row>
    <row r="682" spans="21:23">
      <c r="U682" s="693">
        <f t="shared" si="10"/>
        <v>40483</v>
      </c>
      <c r="V682" s="694">
        <v>40493</v>
      </c>
      <c r="W682" s="695">
        <v>1858.01</v>
      </c>
    </row>
    <row r="683" spans="21:23">
      <c r="U683" s="693">
        <f t="shared" si="10"/>
        <v>40483</v>
      </c>
      <c r="V683" s="694">
        <v>40494</v>
      </c>
      <c r="W683" s="695">
        <v>1858.01</v>
      </c>
    </row>
    <row r="684" spans="21:23">
      <c r="U684" s="693">
        <f t="shared" si="10"/>
        <v>40483</v>
      </c>
      <c r="V684" s="694">
        <v>40495</v>
      </c>
      <c r="W684" s="695">
        <v>1861.74</v>
      </c>
    </row>
    <row r="685" spans="21:23">
      <c r="U685" s="693">
        <f t="shared" si="10"/>
        <v>40483</v>
      </c>
      <c r="V685" s="694">
        <v>40496</v>
      </c>
      <c r="W685" s="695">
        <v>1861.74</v>
      </c>
    </row>
    <row r="686" spans="21:23">
      <c r="U686" s="693">
        <f t="shared" si="10"/>
        <v>40483</v>
      </c>
      <c r="V686" s="694">
        <v>40497</v>
      </c>
      <c r="W686" s="695">
        <v>1861.74</v>
      </c>
    </row>
    <row r="687" spans="21:23">
      <c r="U687" s="693">
        <f t="shared" si="10"/>
        <v>40483</v>
      </c>
      <c r="V687" s="694">
        <v>40498</v>
      </c>
      <c r="W687" s="695">
        <v>1861.74</v>
      </c>
    </row>
    <row r="688" spans="21:23">
      <c r="U688" s="693">
        <f t="shared" si="10"/>
        <v>40483</v>
      </c>
      <c r="V688" s="694">
        <v>40499</v>
      </c>
      <c r="W688" s="695">
        <v>1880.98</v>
      </c>
    </row>
    <row r="689" spans="21:23">
      <c r="U689" s="693">
        <f t="shared" si="10"/>
        <v>40483</v>
      </c>
      <c r="V689" s="694">
        <v>40500</v>
      </c>
      <c r="W689" s="695">
        <v>1875.78</v>
      </c>
    </row>
    <row r="690" spans="21:23">
      <c r="U690" s="693">
        <f t="shared" si="10"/>
        <v>40483</v>
      </c>
      <c r="V690" s="694">
        <v>40501</v>
      </c>
      <c r="W690" s="695">
        <v>1865.82</v>
      </c>
    </row>
    <row r="691" spans="21:23">
      <c r="U691" s="693">
        <f t="shared" si="10"/>
        <v>40483</v>
      </c>
      <c r="V691" s="694">
        <v>40502</v>
      </c>
      <c r="W691" s="695">
        <v>1875.39</v>
      </c>
    </row>
    <row r="692" spans="21:23">
      <c r="U692" s="693">
        <f t="shared" si="10"/>
        <v>40483</v>
      </c>
      <c r="V692" s="694">
        <v>40503</v>
      </c>
      <c r="W692" s="695">
        <v>1875.39</v>
      </c>
    </row>
    <row r="693" spans="21:23">
      <c r="U693" s="693">
        <f t="shared" si="10"/>
        <v>40483</v>
      </c>
      <c r="V693" s="694">
        <v>40504</v>
      </c>
      <c r="W693" s="695">
        <v>1875.39</v>
      </c>
    </row>
    <row r="694" spans="21:23">
      <c r="U694" s="693">
        <f t="shared" si="10"/>
        <v>40483</v>
      </c>
      <c r="V694" s="694">
        <v>40505</v>
      </c>
      <c r="W694" s="695">
        <v>1882</v>
      </c>
    </row>
    <row r="695" spans="21:23">
      <c r="U695" s="693">
        <f t="shared" si="10"/>
        <v>40483</v>
      </c>
      <c r="V695" s="694">
        <v>40506</v>
      </c>
      <c r="W695" s="695">
        <v>1892.84</v>
      </c>
    </row>
    <row r="696" spans="21:23">
      <c r="U696" s="693">
        <f t="shared" si="10"/>
        <v>40483</v>
      </c>
      <c r="V696" s="694">
        <v>40507</v>
      </c>
      <c r="W696" s="695">
        <v>1889.11</v>
      </c>
    </row>
    <row r="697" spans="21:23">
      <c r="U697" s="693">
        <f t="shared" si="10"/>
        <v>40483</v>
      </c>
      <c r="V697" s="694">
        <v>40508</v>
      </c>
      <c r="W697" s="695">
        <v>1889.11</v>
      </c>
    </row>
    <row r="698" spans="21:23">
      <c r="U698" s="693">
        <f t="shared" si="10"/>
        <v>40483</v>
      </c>
      <c r="V698" s="694">
        <v>40509</v>
      </c>
      <c r="W698" s="695">
        <v>1906.69</v>
      </c>
    </row>
    <row r="699" spans="21:23">
      <c r="U699" s="693">
        <f t="shared" si="10"/>
        <v>40483</v>
      </c>
      <c r="V699" s="694">
        <v>40510</v>
      </c>
      <c r="W699" s="695">
        <v>1906.69</v>
      </c>
    </row>
    <row r="700" spans="21:23">
      <c r="U700" s="693">
        <f t="shared" si="10"/>
        <v>40483</v>
      </c>
      <c r="V700" s="694">
        <v>40511</v>
      </c>
      <c r="W700" s="695">
        <v>1906.69</v>
      </c>
    </row>
    <row r="701" spans="21:23">
      <c r="U701" s="693">
        <f t="shared" si="10"/>
        <v>40483</v>
      </c>
      <c r="V701" s="694">
        <v>40512</v>
      </c>
      <c r="W701" s="695">
        <v>1916.96</v>
      </c>
    </row>
    <row r="702" spans="21:23">
      <c r="U702" s="693">
        <f t="shared" si="10"/>
        <v>40513</v>
      </c>
      <c r="V702" s="694">
        <v>40513</v>
      </c>
      <c r="W702" s="695">
        <v>1932.63</v>
      </c>
    </row>
    <row r="703" spans="21:23">
      <c r="U703" s="693">
        <f t="shared" si="10"/>
        <v>40513</v>
      </c>
      <c r="V703" s="694">
        <v>40514</v>
      </c>
      <c r="W703" s="695">
        <v>1933.58</v>
      </c>
    </row>
    <row r="704" spans="21:23">
      <c r="U704" s="693">
        <f t="shared" si="10"/>
        <v>40513</v>
      </c>
      <c r="V704" s="694">
        <v>40515</v>
      </c>
      <c r="W704" s="695">
        <v>1920</v>
      </c>
    </row>
    <row r="705" spans="21:23">
      <c r="U705" s="693">
        <f t="shared" si="10"/>
        <v>40513</v>
      </c>
      <c r="V705" s="694">
        <v>40516</v>
      </c>
      <c r="W705" s="695">
        <v>1896.73</v>
      </c>
    </row>
    <row r="706" spans="21:23">
      <c r="U706" s="693">
        <f t="shared" si="10"/>
        <v>40513</v>
      </c>
      <c r="V706" s="694">
        <v>40517</v>
      </c>
      <c r="W706" s="695">
        <v>1896.73</v>
      </c>
    </row>
    <row r="707" spans="21:23">
      <c r="U707" s="693">
        <f t="shared" ref="U707:U770" si="11">+DATE(YEAR(V707),MONTH(V707),1)</f>
        <v>40513</v>
      </c>
      <c r="V707" s="694">
        <v>40518</v>
      </c>
      <c r="W707" s="695">
        <v>1896.73</v>
      </c>
    </row>
    <row r="708" spans="21:23">
      <c r="U708" s="693">
        <f t="shared" si="11"/>
        <v>40513</v>
      </c>
      <c r="V708" s="694">
        <v>40519</v>
      </c>
      <c r="W708" s="695">
        <v>1889.75</v>
      </c>
    </row>
    <row r="709" spans="21:23">
      <c r="U709" s="693">
        <f t="shared" si="11"/>
        <v>40513</v>
      </c>
      <c r="V709" s="694">
        <v>40520</v>
      </c>
      <c r="W709" s="695">
        <v>1880.82</v>
      </c>
    </row>
    <row r="710" spans="21:23">
      <c r="U710" s="693">
        <f t="shared" si="11"/>
        <v>40513</v>
      </c>
      <c r="V710" s="694">
        <v>40521</v>
      </c>
      <c r="W710" s="695">
        <v>1880.82</v>
      </c>
    </row>
    <row r="711" spans="21:23">
      <c r="U711" s="693">
        <f t="shared" si="11"/>
        <v>40513</v>
      </c>
      <c r="V711" s="694">
        <v>40522</v>
      </c>
      <c r="W711" s="695">
        <v>1902.72</v>
      </c>
    </row>
    <row r="712" spans="21:23">
      <c r="U712" s="693">
        <f t="shared" si="11"/>
        <v>40513</v>
      </c>
      <c r="V712" s="694">
        <v>40523</v>
      </c>
      <c r="W712" s="695">
        <v>1911.87</v>
      </c>
    </row>
    <row r="713" spans="21:23">
      <c r="U713" s="693">
        <f t="shared" si="11"/>
        <v>40513</v>
      </c>
      <c r="V713" s="694">
        <v>40524</v>
      </c>
      <c r="W713" s="695">
        <v>1911.87</v>
      </c>
    </row>
    <row r="714" spans="21:23">
      <c r="U714" s="693">
        <f t="shared" si="11"/>
        <v>40513</v>
      </c>
      <c r="V714" s="694">
        <v>40525</v>
      </c>
      <c r="W714" s="695">
        <v>1911.87</v>
      </c>
    </row>
    <row r="715" spans="21:23">
      <c r="U715" s="693">
        <f t="shared" si="11"/>
        <v>40513</v>
      </c>
      <c r="V715" s="694">
        <v>40526</v>
      </c>
      <c r="W715" s="695">
        <v>1894.12</v>
      </c>
    </row>
    <row r="716" spans="21:23">
      <c r="U716" s="693">
        <f t="shared" si="11"/>
        <v>40513</v>
      </c>
      <c r="V716" s="694">
        <v>40527</v>
      </c>
      <c r="W716" s="695">
        <v>1899.89</v>
      </c>
    </row>
    <row r="717" spans="21:23">
      <c r="U717" s="693">
        <f t="shared" si="11"/>
        <v>40513</v>
      </c>
      <c r="V717" s="694">
        <v>40528</v>
      </c>
      <c r="W717" s="695">
        <v>1905.84</v>
      </c>
    </row>
    <row r="718" spans="21:23">
      <c r="U718" s="693">
        <f t="shared" si="11"/>
        <v>40513</v>
      </c>
      <c r="V718" s="694">
        <v>40529</v>
      </c>
      <c r="W718" s="695">
        <v>1916.09</v>
      </c>
    </row>
    <row r="719" spans="21:23">
      <c r="U719" s="693">
        <f t="shared" si="11"/>
        <v>40513</v>
      </c>
      <c r="V719" s="694">
        <v>40530</v>
      </c>
      <c r="W719" s="695">
        <v>1923.13</v>
      </c>
    </row>
    <row r="720" spans="21:23">
      <c r="U720" s="693">
        <f t="shared" si="11"/>
        <v>40513</v>
      </c>
      <c r="V720" s="694">
        <v>40531</v>
      </c>
      <c r="W720" s="695">
        <v>1923.13</v>
      </c>
    </row>
    <row r="721" spans="21:23">
      <c r="U721" s="693">
        <f t="shared" si="11"/>
        <v>40513</v>
      </c>
      <c r="V721" s="694">
        <v>40532</v>
      </c>
      <c r="W721" s="695">
        <v>1923.13</v>
      </c>
    </row>
    <row r="722" spans="21:23">
      <c r="U722" s="693">
        <f t="shared" si="11"/>
        <v>40513</v>
      </c>
      <c r="V722" s="694">
        <v>40533</v>
      </c>
      <c r="W722" s="695">
        <v>1928.71</v>
      </c>
    </row>
    <row r="723" spans="21:23">
      <c r="U723" s="693">
        <f t="shared" si="11"/>
        <v>40513</v>
      </c>
      <c r="V723" s="694">
        <v>40534</v>
      </c>
      <c r="W723" s="695">
        <v>1934.96</v>
      </c>
    </row>
    <row r="724" spans="21:23">
      <c r="U724" s="693">
        <f t="shared" si="11"/>
        <v>40513</v>
      </c>
      <c r="V724" s="694">
        <v>40535</v>
      </c>
      <c r="W724" s="695">
        <v>1934.44</v>
      </c>
    </row>
    <row r="725" spans="21:23">
      <c r="U725" s="693">
        <f t="shared" si="11"/>
        <v>40513</v>
      </c>
      <c r="V725" s="694">
        <v>40536</v>
      </c>
      <c r="W725" s="695">
        <v>1928.33</v>
      </c>
    </row>
    <row r="726" spans="21:23">
      <c r="U726" s="693">
        <f t="shared" si="11"/>
        <v>40513</v>
      </c>
      <c r="V726" s="694">
        <v>40537</v>
      </c>
      <c r="W726" s="695">
        <v>1939.54</v>
      </c>
    </row>
    <row r="727" spans="21:23">
      <c r="U727" s="693">
        <f t="shared" si="11"/>
        <v>40513</v>
      </c>
      <c r="V727" s="694">
        <v>40538</v>
      </c>
      <c r="W727" s="695">
        <v>1939.54</v>
      </c>
    </row>
    <row r="728" spans="21:23">
      <c r="U728" s="693">
        <f t="shared" si="11"/>
        <v>40513</v>
      </c>
      <c r="V728" s="694">
        <v>40539</v>
      </c>
      <c r="W728" s="695">
        <v>1939.54</v>
      </c>
    </row>
    <row r="729" spans="21:23">
      <c r="U729" s="693">
        <f t="shared" si="11"/>
        <v>40513</v>
      </c>
      <c r="V729" s="694">
        <v>40540</v>
      </c>
      <c r="W729" s="695">
        <v>1964.57</v>
      </c>
    </row>
    <row r="730" spans="21:23">
      <c r="U730" s="693">
        <f t="shared" si="11"/>
        <v>40513</v>
      </c>
      <c r="V730" s="694">
        <v>40541</v>
      </c>
      <c r="W730" s="695">
        <v>2027.33</v>
      </c>
    </row>
    <row r="731" spans="21:23">
      <c r="U731" s="693">
        <f t="shared" si="11"/>
        <v>40513</v>
      </c>
      <c r="V731" s="694">
        <v>40542</v>
      </c>
      <c r="W731" s="695">
        <v>1989.88</v>
      </c>
    </row>
    <row r="732" spans="21:23">
      <c r="U732" s="693">
        <f t="shared" si="11"/>
        <v>40513</v>
      </c>
      <c r="V732" s="694">
        <v>40543</v>
      </c>
      <c r="W732" s="695">
        <v>1913.98</v>
      </c>
    </row>
    <row r="733" spans="21:23">
      <c r="U733" s="693">
        <f t="shared" si="11"/>
        <v>40544</v>
      </c>
      <c r="V733" s="694">
        <v>40544</v>
      </c>
      <c r="W733" s="695">
        <v>1913.98</v>
      </c>
    </row>
    <row r="734" spans="21:23">
      <c r="U734" s="693">
        <f t="shared" si="11"/>
        <v>40544</v>
      </c>
      <c r="V734" s="694">
        <v>40545</v>
      </c>
      <c r="W734" s="695">
        <v>1913.98</v>
      </c>
    </row>
    <row r="735" spans="21:23">
      <c r="U735" s="693">
        <f t="shared" si="11"/>
        <v>40544</v>
      </c>
      <c r="V735" s="694">
        <v>40546</v>
      </c>
      <c r="W735" s="695">
        <v>1913.98</v>
      </c>
    </row>
    <row r="736" spans="21:23">
      <c r="U736" s="693">
        <f t="shared" si="11"/>
        <v>40544</v>
      </c>
      <c r="V736" s="694">
        <v>40547</v>
      </c>
      <c r="W736" s="695">
        <v>1902.71</v>
      </c>
    </row>
    <row r="737" spans="21:23">
      <c r="U737" s="693">
        <f t="shared" si="11"/>
        <v>40544</v>
      </c>
      <c r="V737" s="694">
        <v>40548</v>
      </c>
      <c r="W737" s="695">
        <v>1899.86</v>
      </c>
    </row>
    <row r="738" spans="21:23">
      <c r="U738" s="693">
        <f t="shared" si="11"/>
        <v>40544</v>
      </c>
      <c r="V738" s="694">
        <v>40549</v>
      </c>
      <c r="W738" s="695">
        <v>1894.82</v>
      </c>
    </row>
    <row r="739" spans="21:23">
      <c r="U739" s="693">
        <f t="shared" si="11"/>
        <v>40544</v>
      </c>
      <c r="V739" s="694">
        <v>40550</v>
      </c>
      <c r="W739" s="695">
        <v>1869.94</v>
      </c>
    </row>
    <row r="740" spans="21:23">
      <c r="U740" s="693">
        <f t="shared" si="11"/>
        <v>40544</v>
      </c>
      <c r="V740" s="694">
        <v>40551</v>
      </c>
      <c r="W740" s="695">
        <v>1859.97</v>
      </c>
    </row>
    <row r="741" spans="21:23">
      <c r="U741" s="693">
        <f t="shared" si="11"/>
        <v>40544</v>
      </c>
      <c r="V741" s="694">
        <v>40552</v>
      </c>
      <c r="W741" s="695">
        <v>1859.97</v>
      </c>
    </row>
    <row r="742" spans="21:23">
      <c r="U742" s="693">
        <f t="shared" si="11"/>
        <v>40544</v>
      </c>
      <c r="V742" s="694">
        <v>40553</v>
      </c>
      <c r="W742" s="695">
        <v>1859.97</v>
      </c>
    </row>
    <row r="743" spans="21:23">
      <c r="U743" s="693">
        <f t="shared" si="11"/>
        <v>40544</v>
      </c>
      <c r="V743" s="694">
        <v>40554</v>
      </c>
      <c r="W743" s="695">
        <v>1859.97</v>
      </c>
    </row>
    <row r="744" spans="21:23">
      <c r="U744" s="693">
        <f t="shared" si="11"/>
        <v>40544</v>
      </c>
      <c r="V744" s="694">
        <v>40555</v>
      </c>
      <c r="W744" s="695">
        <v>1856.79</v>
      </c>
    </row>
    <row r="745" spans="21:23">
      <c r="U745" s="693">
        <f t="shared" si="11"/>
        <v>40544</v>
      </c>
      <c r="V745" s="694">
        <v>40556</v>
      </c>
      <c r="W745" s="695">
        <v>1855.46</v>
      </c>
    </row>
    <row r="746" spans="21:23">
      <c r="U746" s="693">
        <f t="shared" si="11"/>
        <v>40544</v>
      </c>
      <c r="V746" s="694">
        <v>40557</v>
      </c>
      <c r="W746" s="695">
        <v>1864.36</v>
      </c>
    </row>
    <row r="747" spans="21:23">
      <c r="U747" s="693">
        <f t="shared" si="11"/>
        <v>40544</v>
      </c>
      <c r="V747" s="694">
        <v>40558</v>
      </c>
      <c r="W747" s="695">
        <v>1872.46</v>
      </c>
    </row>
    <row r="748" spans="21:23">
      <c r="U748" s="693">
        <f t="shared" si="11"/>
        <v>40544</v>
      </c>
      <c r="V748" s="694">
        <v>40559</v>
      </c>
      <c r="W748" s="695">
        <v>1872.46</v>
      </c>
    </row>
    <row r="749" spans="21:23">
      <c r="U749" s="693">
        <f t="shared" si="11"/>
        <v>40544</v>
      </c>
      <c r="V749" s="694">
        <v>40560</v>
      </c>
      <c r="W749" s="695">
        <v>1872.46</v>
      </c>
    </row>
    <row r="750" spans="21:23">
      <c r="U750" s="693">
        <f t="shared" si="11"/>
        <v>40544</v>
      </c>
      <c r="V750" s="694">
        <v>40561</v>
      </c>
      <c r="W750" s="695">
        <v>1872.46</v>
      </c>
    </row>
    <row r="751" spans="21:23">
      <c r="U751" s="693">
        <f t="shared" si="11"/>
        <v>40544</v>
      </c>
      <c r="V751" s="694">
        <v>40562</v>
      </c>
      <c r="W751" s="695">
        <v>1864.64</v>
      </c>
    </row>
    <row r="752" spans="21:23">
      <c r="U752" s="693">
        <f t="shared" si="11"/>
        <v>40544</v>
      </c>
      <c r="V752" s="694">
        <v>40563</v>
      </c>
      <c r="W752" s="695">
        <v>1841.9</v>
      </c>
    </row>
    <row r="753" spans="21:23">
      <c r="U753" s="693">
        <f t="shared" si="11"/>
        <v>40544</v>
      </c>
      <c r="V753" s="694">
        <v>40564</v>
      </c>
      <c r="W753" s="695">
        <v>1849.59</v>
      </c>
    </row>
    <row r="754" spans="21:23">
      <c r="U754" s="693">
        <f t="shared" si="11"/>
        <v>40544</v>
      </c>
      <c r="V754" s="694">
        <v>40565</v>
      </c>
      <c r="W754" s="695">
        <v>1838.94</v>
      </c>
    </row>
    <row r="755" spans="21:23">
      <c r="U755" s="693">
        <f t="shared" si="11"/>
        <v>40544</v>
      </c>
      <c r="V755" s="694">
        <v>40566</v>
      </c>
      <c r="W755" s="695">
        <v>1838.94</v>
      </c>
    </row>
    <row r="756" spans="21:23">
      <c r="U756" s="693">
        <f t="shared" si="11"/>
        <v>40544</v>
      </c>
      <c r="V756" s="694">
        <v>40567</v>
      </c>
      <c r="W756" s="695">
        <v>1838.94</v>
      </c>
    </row>
    <row r="757" spans="21:23">
      <c r="U757" s="693">
        <f t="shared" si="11"/>
        <v>40544</v>
      </c>
      <c r="V757" s="694">
        <v>40568</v>
      </c>
      <c r="W757" s="695">
        <v>1842.43</v>
      </c>
    </row>
    <row r="758" spans="21:23">
      <c r="U758" s="693">
        <f t="shared" si="11"/>
        <v>40544</v>
      </c>
      <c r="V758" s="694">
        <v>40569</v>
      </c>
      <c r="W758" s="695">
        <v>1853.71</v>
      </c>
    </row>
    <row r="759" spans="21:23">
      <c r="U759" s="693">
        <f t="shared" si="11"/>
        <v>40544</v>
      </c>
      <c r="V759" s="694">
        <v>40570</v>
      </c>
      <c r="W759" s="695">
        <v>1862.05</v>
      </c>
    </row>
    <row r="760" spans="21:23">
      <c r="U760" s="693">
        <f t="shared" si="11"/>
        <v>40544</v>
      </c>
      <c r="V760" s="694">
        <v>40571</v>
      </c>
      <c r="W760" s="695">
        <v>1858.7</v>
      </c>
    </row>
    <row r="761" spans="21:23">
      <c r="U761" s="693">
        <f t="shared" si="11"/>
        <v>40544</v>
      </c>
      <c r="V761" s="694">
        <v>40572</v>
      </c>
      <c r="W761" s="695">
        <v>1857.98</v>
      </c>
    </row>
    <row r="762" spans="21:23">
      <c r="U762" s="693">
        <f t="shared" si="11"/>
        <v>40544</v>
      </c>
      <c r="V762" s="694">
        <v>40573</v>
      </c>
      <c r="W762" s="695">
        <v>1857.98</v>
      </c>
    </row>
    <row r="763" spans="21:23">
      <c r="U763" s="693">
        <f t="shared" si="11"/>
        <v>40544</v>
      </c>
      <c r="V763" s="694">
        <v>40574</v>
      </c>
      <c r="W763" s="695">
        <v>1857.98</v>
      </c>
    </row>
    <row r="764" spans="21:23">
      <c r="U764" s="693">
        <f t="shared" si="11"/>
        <v>40575</v>
      </c>
      <c r="V764" s="694">
        <v>40575</v>
      </c>
      <c r="W764" s="695">
        <v>1867.82</v>
      </c>
    </row>
    <row r="765" spans="21:23">
      <c r="U765" s="693">
        <f t="shared" si="11"/>
        <v>40575</v>
      </c>
      <c r="V765" s="694">
        <v>40576</v>
      </c>
      <c r="W765" s="695">
        <v>1853.33</v>
      </c>
    </row>
    <row r="766" spans="21:23">
      <c r="U766" s="693">
        <f t="shared" si="11"/>
        <v>40575</v>
      </c>
      <c r="V766" s="694">
        <v>40577</v>
      </c>
      <c r="W766" s="695">
        <v>1852.67</v>
      </c>
    </row>
    <row r="767" spans="21:23">
      <c r="U767" s="693">
        <f t="shared" si="11"/>
        <v>40575</v>
      </c>
      <c r="V767" s="694">
        <v>40578</v>
      </c>
      <c r="W767" s="695">
        <v>1863.03</v>
      </c>
    </row>
    <row r="768" spans="21:23">
      <c r="U768" s="693">
        <f t="shared" si="11"/>
        <v>40575</v>
      </c>
      <c r="V768" s="694">
        <v>40579</v>
      </c>
      <c r="W768" s="695">
        <v>1872.01</v>
      </c>
    </row>
    <row r="769" spans="21:23">
      <c r="U769" s="693">
        <f t="shared" si="11"/>
        <v>40575</v>
      </c>
      <c r="V769" s="694">
        <v>40580</v>
      </c>
      <c r="W769" s="695">
        <v>1872.01</v>
      </c>
    </row>
    <row r="770" spans="21:23">
      <c r="U770" s="693">
        <f t="shared" si="11"/>
        <v>40575</v>
      </c>
      <c r="V770" s="694">
        <v>40581</v>
      </c>
      <c r="W770" s="695">
        <v>1872.01</v>
      </c>
    </row>
    <row r="771" spans="21:23">
      <c r="U771" s="693">
        <f t="shared" ref="U771:U834" si="12">+DATE(YEAR(V771),MONTH(V771),1)</f>
        <v>40575</v>
      </c>
      <c r="V771" s="694">
        <v>40582</v>
      </c>
      <c r="W771" s="695">
        <v>1871.81</v>
      </c>
    </row>
    <row r="772" spans="21:23">
      <c r="U772" s="693">
        <f t="shared" si="12"/>
        <v>40575</v>
      </c>
      <c r="V772" s="694">
        <v>40583</v>
      </c>
      <c r="W772" s="695">
        <v>1875.32</v>
      </c>
    </row>
    <row r="773" spans="21:23">
      <c r="U773" s="693">
        <f t="shared" si="12"/>
        <v>40575</v>
      </c>
      <c r="V773" s="694">
        <v>40584</v>
      </c>
      <c r="W773" s="695">
        <v>1891.54</v>
      </c>
    </row>
    <row r="774" spans="21:23">
      <c r="U774" s="693">
        <f t="shared" si="12"/>
        <v>40575</v>
      </c>
      <c r="V774" s="694">
        <v>40585</v>
      </c>
      <c r="W774" s="695">
        <v>1889.1</v>
      </c>
    </row>
    <row r="775" spans="21:23">
      <c r="U775" s="693">
        <f t="shared" si="12"/>
        <v>40575</v>
      </c>
      <c r="V775" s="694">
        <v>40586</v>
      </c>
      <c r="W775" s="695">
        <v>1880.37</v>
      </c>
    </row>
    <row r="776" spans="21:23">
      <c r="U776" s="693">
        <f t="shared" si="12"/>
        <v>40575</v>
      </c>
      <c r="V776" s="694">
        <v>40587</v>
      </c>
      <c r="W776" s="695">
        <v>1880.37</v>
      </c>
    </row>
    <row r="777" spans="21:23">
      <c r="U777" s="693">
        <f t="shared" si="12"/>
        <v>40575</v>
      </c>
      <c r="V777" s="694">
        <v>40588</v>
      </c>
      <c r="W777" s="695">
        <v>1880.37</v>
      </c>
    </row>
    <row r="778" spans="21:23">
      <c r="U778" s="693">
        <f t="shared" si="12"/>
        <v>40575</v>
      </c>
      <c r="V778" s="694">
        <v>40589</v>
      </c>
      <c r="W778" s="695">
        <v>1891.84</v>
      </c>
    </row>
    <row r="779" spans="21:23">
      <c r="U779" s="693">
        <f t="shared" si="12"/>
        <v>40575</v>
      </c>
      <c r="V779" s="694">
        <v>40590</v>
      </c>
      <c r="W779" s="695">
        <v>1902.01</v>
      </c>
    </row>
    <row r="780" spans="21:23">
      <c r="U780" s="693">
        <f t="shared" si="12"/>
        <v>40575</v>
      </c>
      <c r="V780" s="694">
        <v>40591</v>
      </c>
      <c r="W780" s="695">
        <v>1907.69</v>
      </c>
    </row>
    <row r="781" spans="21:23">
      <c r="U781" s="693">
        <f t="shared" si="12"/>
        <v>40575</v>
      </c>
      <c r="V781" s="694">
        <v>40592</v>
      </c>
      <c r="W781" s="695">
        <v>1893.46</v>
      </c>
    </row>
    <row r="782" spans="21:23">
      <c r="U782" s="693">
        <f t="shared" si="12"/>
        <v>40575</v>
      </c>
      <c r="V782" s="694">
        <v>40593</v>
      </c>
      <c r="W782" s="695">
        <v>1879.15</v>
      </c>
    </row>
    <row r="783" spans="21:23">
      <c r="U783" s="693">
        <f t="shared" si="12"/>
        <v>40575</v>
      </c>
      <c r="V783" s="694">
        <v>40594</v>
      </c>
      <c r="W783" s="695">
        <v>1879.15</v>
      </c>
    </row>
    <row r="784" spans="21:23">
      <c r="U784" s="693">
        <f t="shared" si="12"/>
        <v>40575</v>
      </c>
      <c r="V784" s="694">
        <v>40595</v>
      </c>
      <c r="W784" s="695">
        <v>1879.15</v>
      </c>
    </row>
    <row r="785" spans="21:23">
      <c r="U785" s="693">
        <f t="shared" si="12"/>
        <v>40575</v>
      </c>
      <c r="V785" s="694">
        <v>40596</v>
      </c>
      <c r="W785" s="695">
        <v>1879.15</v>
      </c>
    </row>
    <row r="786" spans="21:23">
      <c r="U786" s="693">
        <f t="shared" si="12"/>
        <v>40575</v>
      </c>
      <c r="V786" s="694">
        <v>40597</v>
      </c>
      <c r="W786" s="695">
        <v>1889.69</v>
      </c>
    </row>
    <row r="787" spans="21:23">
      <c r="U787" s="693">
        <f t="shared" si="12"/>
        <v>40575</v>
      </c>
      <c r="V787" s="694">
        <v>40598</v>
      </c>
      <c r="W787" s="695">
        <v>1898.28</v>
      </c>
    </row>
    <row r="788" spans="21:23">
      <c r="U788" s="693">
        <f t="shared" si="12"/>
        <v>40575</v>
      </c>
      <c r="V788" s="694">
        <v>40599</v>
      </c>
      <c r="W788" s="695">
        <v>1898.39</v>
      </c>
    </row>
    <row r="789" spans="21:23">
      <c r="U789" s="693">
        <f t="shared" si="12"/>
        <v>40575</v>
      </c>
      <c r="V789" s="694">
        <v>40600</v>
      </c>
      <c r="W789" s="695">
        <v>1895.56</v>
      </c>
    </row>
    <row r="790" spans="21:23">
      <c r="U790" s="693">
        <f t="shared" si="12"/>
        <v>40575</v>
      </c>
      <c r="V790" s="694">
        <v>40601</v>
      </c>
      <c r="W790" s="695">
        <v>1895.56</v>
      </c>
    </row>
    <row r="791" spans="21:23">
      <c r="U791" s="693">
        <f t="shared" si="12"/>
        <v>40575</v>
      </c>
      <c r="V791" s="694">
        <v>40602</v>
      </c>
      <c r="W791" s="695">
        <v>1895.56</v>
      </c>
    </row>
    <row r="792" spans="21:23">
      <c r="U792" s="693">
        <f t="shared" si="12"/>
        <v>40603</v>
      </c>
      <c r="V792" s="694">
        <v>40603</v>
      </c>
      <c r="W792" s="695">
        <v>1907.37</v>
      </c>
    </row>
    <row r="793" spans="21:23">
      <c r="U793" s="693">
        <f t="shared" si="12"/>
        <v>40603</v>
      </c>
      <c r="V793" s="694">
        <v>40604</v>
      </c>
      <c r="W793" s="695">
        <v>1913.21</v>
      </c>
    </row>
    <row r="794" spans="21:23">
      <c r="U794" s="693">
        <f t="shared" si="12"/>
        <v>40603</v>
      </c>
      <c r="V794" s="694">
        <v>40605</v>
      </c>
      <c r="W794" s="695">
        <v>1916.05</v>
      </c>
    </row>
    <row r="795" spans="21:23">
      <c r="U795" s="693">
        <f t="shared" si="12"/>
        <v>40603</v>
      </c>
      <c r="V795" s="694">
        <v>40606</v>
      </c>
      <c r="W795" s="695">
        <v>1904.73</v>
      </c>
    </row>
    <row r="796" spans="21:23">
      <c r="U796" s="693">
        <f t="shared" si="12"/>
        <v>40603</v>
      </c>
      <c r="V796" s="694">
        <v>40607</v>
      </c>
      <c r="W796" s="695">
        <v>1890.23</v>
      </c>
    </row>
    <row r="797" spans="21:23">
      <c r="U797" s="693">
        <f t="shared" si="12"/>
        <v>40603</v>
      </c>
      <c r="V797" s="694">
        <v>40608</v>
      </c>
      <c r="W797" s="695">
        <v>1890.23</v>
      </c>
    </row>
    <row r="798" spans="21:23">
      <c r="U798" s="693">
        <f t="shared" si="12"/>
        <v>40603</v>
      </c>
      <c r="V798" s="694">
        <v>40609</v>
      </c>
      <c r="W798" s="695">
        <v>1890.23</v>
      </c>
    </row>
    <row r="799" spans="21:23">
      <c r="U799" s="693">
        <f t="shared" si="12"/>
        <v>40603</v>
      </c>
      <c r="V799" s="694">
        <v>40610</v>
      </c>
      <c r="W799" s="695">
        <v>1893.17</v>
      </c>
    </row>
    <row r="800" spans="21:23">
      <c r="U800" s="693">
        <f t="shared" si="12"/>
        <v>40603</v>
      </c>
      <c r="V800" s="694">
        <v>40611</v>
      </c>
      <c r="W800" s="695">
        <v>1889.85</v>
      </c>
    </row>
    <row r="801" spans="21:23">
      <c r="U801" s="693">
        <f t="shared" si="12"/>
        <v>40603</v>
      </c>
      <c r="V801" s="694">
        <v>40612</v>
      </c>
      <c r="W801" s="695">
        <v>1879.49</v>
      </c>
    </row>
    <row r="802" spans="21:23">
      <c r="U802" s="693">
        <f t="shared" si="12"/>
        <v>40603</v>
      </c>
      <c r="V802" s="694">
        <v>40613</v>
      </c>
      <c r="W802" s="695">
        <v>1871.97</v>
      </c>
    </row>
    <row r="803" spans="21:23">
      <c r="U803" s="693">
        <f t="shared" si="12"/>
        <v>40603</v>
      </c>
      <c r="V803" s="694">
        <v>40614</v>
      </c>
      <c r="W803" s="695">
        <v>1866.2</v>
      </c>
    </row>
    <row r="804" spans="21:23">
      <c r="U804" s="693">
        <f t="shared" si="12"/>
        <v>40603</v>
      </c>
      <c r="V804" s="694">
        <v>40615</v>
      </c>
      <c r="W804" s="695">
        <v>1866.2</v>
      </c>
    </row>
    <row r="805" spans="21:23">
      <c r="U805" s="693">
        <f t="shared" si="12"/>
        <v>40603</v>
      </c>
      <c r="V805" s="694">
        <v>40616</v>
      </c>
      <c r="W805" s="695">
        <v>1866.2</v>
      </c>
    </row>
    <row r="806" spans="21:23">
      <c r="U806" s="693">
        <f t="shared" si="12"/>
        <v>40603</v>
      </c>
      <c r="V806" s="694">
        <v>40617</v>
      </c>
      <c r="W806" s="695">
        <v>1876.29</v>
      </c>
    </row>
    <row r="807" spans="21:23">
      <c r="U807" s="693">
        <f t="shared" si="12"/>
        <v>40603</v>
      </c>
      <c r="V807" s="694">
        <v>40618</v>
      </c>
      <c r="W807" s="695">
        <v>1887.67</v>
      </c>
    </row>
    <row r="808" spans="21:23">
      <c r="U808" s="693">
        <f t="shared" si="12"/>
        <v>40603</v>
      </c>
      <c r="V808" s="694">
        <v>40619</v>
      </c>
      <c r="W808" s="695">
        <v>1892.62</v>
      </c>
    </row>
    <row r="809" spans="21:23">
      <c r="U809" s="693">
        <f t="shared" si="12"/>
        <v>40603</v>
      </c>
      <c r="V809" s="694">
        <v>40620</v>
      </c>
      <c r="W809" s="695">
        <v>1876.78</v>
      </c>
    </row>
    <row r="810" spans="21:23">
      <c r="U810" s="693">
        <f t="shared" si="12"/>
        <v>40603</v>
      </c>
      <c r="V810" s="694">
        <v>40621</v>
      </c>
      <c r="W810" s="695">
        <v>1874.79</v>
      </c>
    </row>
    <row r="811" spans="21:23">
      <c r="U811" s="693">
        <f t="shared" si="12"/>
        <v>40603</v>
      </c>
      <c r="V811" s="694">
        <v>40622</v>
      </c>
      <c r="W811" s="695">
        <v>1874.79</v>
      </c>
    </row>
    <row r="812" spans="21:23">
      <c r="U812" s="693">
        <f t="shared" si="12"/>
        <v>40603</v>
      </c>
      <c r="V812" s="694">
        <v>40623</v>
      </c>
      <c r="W812" s="695">
        <v>1874.79</v>
      </c>
    </row>
    <row r="813" spans="21:23">
      <c r="U813" s="693">
        <f t="shared" si="12"/>
        <v>40603</v>
      </c>
      <c r="V813" s="694">
        <v>40624</v>
      </c>
      <c r="W813" s="695">
        <v>1874.79</v>
      </c>
    </row>
    <row r="814" spans="21:23">
      <c r="U814" s="693">
        <f t="shared" si="12"/>
        <v>40603</v>
      </c>
      <c r="V814" s="694">
        <v>40625</v>
      </c>
      <c r="W814" s="695">
        <v>1866.34</v>
      </c>
    </row>
    <row r="815" spans="21:23">
      <c r="U815" s="693">
        <f t="shared" si="12"/>
        <v>40603</v>
      </c>
      <c r="V815" s="694">
        <v>40626</v>
      </c>
      <c r="W815" s="695">
        <v>1867.74</v>
      </c>
    </row>
    <row r="816" spans="21:23">
      <c r="U816" s="693">
        <f t="shared" si="12"/>
        <v>40603</v>
      </c>
      <c r="V816" s="694">
        <v>40627</v>
      </c>
      <c r="W816" s="695">
        <v>1865.11</v>
      </c>
    </row>
    <row r="817" spans="21:23">
      <c r="U817" s="693">
        <f t="shared" si="12"/>
        <v>40603</v>
      </c>
      <c r="V817" s="694">
        <v>40628</v>
      </c>
      <c r="W817" s="695">
        <v>1871.37</v>
      </c>
    </row>
    <row r="818" spans="21:23">
      <c r="U818" s="693">
        <f t="shared" si="12"/>
        <v>40603</v>
      </c>
      <c r="V818" s="694">
        <v>40629</v>
      </c>
      <c r="W818" s="695">
        <v>1871.37</v>
      </c>
    </row>
    <row r="819" spans="21:23">
      <c r="U819" s="693">
        <f t="shared" si="12"/>
        <v>40603</v>
      </c>
      <c r="V819" s="694">
        <v>40630</v>
      </c>
      <c r="W819" s="695">
        <v>1871.37</v>
      </c>
    </row>
    <row r="820" spans="21:23">
      <c r="U820" s="693">
        <f t="shared" si="12"/>
        <v>40603</v>
      </c>
      <c r="V820" s="694">
        <v>40631</v>
      </c>
      <c r="W820" s="695">
        <v>1877.84</v>
      </c>
    </row>
    <row r="821" spans="21:23">
      <c r="U821" s="693">
        <f t="shared" si="12"/>
        <v>40603</v>
      </c>
      <c r="V821" s="694">
        <v>40632</v>
      </c>
      <c r="W821" s="695">
        <v>1888</v>
      </c>
    </row>
    <row r="822" spans="21:23">
      <c r="U822" s="693">
        <f t="shared" si="12"/>
        <v>40603</v>
      </c>
      <c r="V822" s="694">
        <v>40633</v>
      </c>
      <c r="W822" s="695">
        <v>1879.47</v>
      </c>
    </row>
    <row r="823" spans="21:23">
      <c r="U823" s="693">
        <f t="shared" si="12"/>
        <v>40634</v>
      </c>
      <c r="V823" s="694">
        <v>40634</v>
      </c>
      <c r="W823" s="695">
        <v>1870.6</v>
      </c>
    </row>
    <row r="824" spans="21:23">
      <c r="U824" s="693">
        <f t="shared" si="12"/>
        <v>40634</v>
      </c>
      <c r="V824" s="694">
        <v>40635</v>
      </c>
      <c r="W824" s="695">
        <v>1858.95</v>
      </c>
    </row>
    <row r="825" spans="21:23">
      <c r="U825" s="693">
        <f t="shared" si="12"/>
        <v>40634</v>
      </c>
      <c r="V825" s="694">
        <v>40636</v>
      </c>
      <c r="W825" s="695">
        <v>1858.95</v>
      </c>
    </row>
    <row r="826" spans="21:23">
      <c r="U826" s="693">
        <f t="shared" si="12"/>
        <v>40634</v>
      </c>
      <c r="V826" s="694">
        <v>40637</v>
      </c>
      <c r="W826" s="695">
        <v>1858.95</v>
      </c>
    </row>
    <row r="827" spans="21:23">
      <c r="U827" s="693">
        <f t="shared" si="12"/>
        <v>40634</v>
      </c>
      <c r="V827" s="694">
        <v>40638</v>
      </c>
      <c r="W827" s="695">
        <v>1846.78</v>
      </c>
    </row>
    <row r="828" spans="21:23">
      <c r="U828" s="693">
        <f t="shared" si="12"/>
        <v>40634</v>
      </c>
      <c r="V828" s="694">
        <v>40639</v>
      </c>
      <c r="W828" s="695">
        <v>1838.29</v>
      </c>
    </row>
    <row r="829" spans="21:23">
      <c r="U829" s="693">
        <f t="shared" si="12"/>
        <v>40634</v>
      </c>
      <c r="V829" s="694">
        <v>40640</v>
      </c>
      <c r="W829" s="695">
        <v>1826.97</v>
      </c>
    </row>
    <row r="830" spans="21:23">
      <c r="U830" s="693">
        <f t="shared" si="12"/>
        <v>40634</v>
      </c>
      <c r="V830" s="694">
        <v>40641</v>
      </c>
      <c r="W830" s="695">
        <v>1825.09</v>
      </c>
    </row>
    <row r="831" spans="21:23">
      <c r="U831" s="693">
        <f t="shared" si="12"/>
        <v>40634</v>
      </c>
      <c r="V831" s="694">
        <v>40642</v>
      </c>
      <c r="W831" s="695">
        <v>1817.35</v>
      </c>
    </row>
    <row r="832" spans="21:23">
      <c r="U832" s="693">
        <f t="shared" si="12"/>
        <v>40634</v>
      </c>
      <c r="V832" s="694">
        <v>40643</v>
      </c>
      <c r="W832" s="695">
        <v>1817.35</v>
      </c>
    </row>
    <row r="833" spans="21:23">
      <c r="U833" s="693">
        <f t="shared" si="12"/>
        <v>40634</v>
      </c>
      <c r="V833" s="694">
        <v>40644</v>
      </c>
      <c r="W833" s="695">
        <v>1817.35</v>
      </c>
    </row>
    <row r="834" spans="21:23">
      <c r="U834" s="693">
        <f t="shared" si="12"/>
        <v>40634</v>
      </c>
      <c r="V834" s="694">
        <v>40645</v>
      </c>
      <c r="W834" s="695">
        <v>1815.79</v>
      </c>
    </row>
    <row r="835" spans="21:23">
      <c r="U835" s="693">
        <f t="shared" ref="U835:U898" si="13">+DATE(YEAR(V835),MONTH(V835),1)</f>
        <v>40634</v>
      </c>
      <c r="V835" s="694">
        <v>40646</v>
      </c>
      <c r="W835" s="695">
        <v>1818.14</v>
      </c>
    </row>
    <row r="836" spans="21:23">
      <c r="U836" s="693">
        <f t="shared" si="13"/>
        <v>40634</v>
      </c>
      <c r="V836" s="694">
        <v>40647</v>
      </c>
      <c r="W836" s="695">
        <v>1818.91</v>
      </c>
    </row>
    <row r="837" spans="21:23">
      <c r="U837" s="693">
        <f t="shared" si="13"/>
        <v>40634</v>
      </c>
      <c r="V837" s="694">
        <v>40648</v>
      </c>
      <c r="W837" s="695">
        <v>1811.1</v>
      </c>
    </row>
    <row r="838" spans="21:23">
      <c r="U838" s="693">
        <f t="shared" si="13"/>
        <v>40634</v>
      </c>
      <c r="V838" s="694">
        <v>40649</v>
      </c>
      <c r="W838" s="695">
        <v>1800.63</v>
      </c>
    </row>
    <row r="839" spans="21:23">
      <c r="U839" s="693">
        <f t="shared" si="13"/>
        <v>40634</v>
      </c>
      <c r="V839" s="694">
        <v>40650</v>
      </c>
      <c r="W839" s="695">
        <v>1800.63</v>
      </c>
    </row>
    <row r="840" spans="21:23">
      <c r="U840" s="693">
        <f t="shared" si="13"/>
        <v>40634</v>
      </c>
      <c r="V840" s="694">
        <v>40651</v>
      </c>
      <c r="W840" s="695">
        <v>1800.63</v>
      </c>
    </row>
    <row r="841" spans="21:23">
      <c r="U841" s="693">
        <f t="shared" si="13"/>
        <v>40634</v>
      </c>
      <c r="V841" s="694">
        <v>40652</v>
      </c>
      <c r="W841" s="695">
        <v>1799.79</v>
      </c>
    </row>
    <row r="842" spans="21:23">
      <c r="U842" s="693">
        <f t="shared" si="13"/>
        <v>40634</v>
      </c>
      <c r="V842" s="694">
        <v>40653</v>
      </c>
      <c r="W842" s="695">
        <v>1790.54</v>
      </c>
    </row>
    <row r="843" spans="21:23">
      <c r="U843" s="693">
        <f t="shared" si="13"/>
        <v>40634</v>
      </c>
      <c r="V843" s="694">
        <v>40654</v>
      </c>
      <c r="W843" s="695">
        <v>1782.59</v>
      </c>
    </row>
    <row r="844" spans="21:23">
      <c r="U844" s="693">
        <f t="shared" si="13"/>
        <v>40634</v>
      </c>
      <c r="V844" s="694">
        <v>40655</v>
      </c>
      <c r="W844" s="695">
        <v>1782.59</v>
      </c>
    </row>
    <row r="845" spans="21:23">
      <c r="U845" s="693">
        <f t="shared" si="13"/>
        <v>40634</v>
      </c>
      <c r="V845" s="694">
        <v>40656</v>
      </c>
      <c r="W845" s="695">
        <v>1782.59</v>
      </c>
    </row>
    <row r="846" spans="21:23">
      <c r="U846" s="693">
        <f t="shared" si="13"/>
        <v>40634</v>
      </c>
      <c r="V846" s="694">
        <v>40657</v>
      </c>
      <c r="W846" s="695">
        <v>1782.59</v>
      </c>
    </row>
    <row r="847" spans="21:23">
      <c r="U847" s="693">
        <f t="shared" si="13"/>
        <v>40634</v>
      </c>
      <c r="V847" s="694">
        <v>40658</v>
      </c>
      <c r="W847" s="695">
        <v>1782.59</v>
      </c>
    </row>
    <row r="848" spans="21:23">
      <c r="U848" s="693">
        <f t="shared" si="13"/>
        <v>40634</v>
      </c>
      <c r="V848" s="694">
        <v>40659</v>
      </c>
      <c r="W848" s="695">
        <v>1781.56</v>
      </c>
    </row>
    <row r="849" spans="21:23">
      <c r="U849" s="693">
        <f t="shared" si="13"/>
        <v>40634</v>
      </c>
      <c r="V849" s="694">
        <v>40660</v>
      </c>
      <c r="W849" s="695">
        <v>1787.88</v>
      </c>
    </row>
    <row r="850" spans="21:23">
      <c r="U850" s="693">
        <f t="shared" si="13"/>
        <v>40634</v>
      </c>
      <c r="V850" s="694">
        <v>40661</v>
      </c>
      <c r="W850" s="695">
        <v>1784.11</v>
      </c>
    </row>
    <row r="851" spans="21:23">
      <c r="U851" s="693">
        <f t="shared" si="13"/>
        <v>40634</v>
      </c>
      <c r="V851" s="694">
        <v>40662</v>
      </c>
      <c r="W851" s="695">
        <v>1767.54</v>
      </c>
    </row>
    <row r="852" spans="21:23">
      <c r="U852" s="693">
        <f t="shared" si="13"/>
        <v>40634</v>
      </c>
      <c r="V852" s="694">
        <v>40663</v>
      </c>
      <c r="W852" s="695">
        <v>1768.19</v>
      </c>
    </row>
    <row r="853" spans="21:23">
      <c r="U853" s="693">
        <f t="shared" si="13"/>
        <v>40664</v>
      </c>
      <c r="V853" s="694">
        <v>40664</v>
      </c>
      <c r="W853" s="695">
        <v>1768.19</v>
      </c>
    </row>
    <row r="854" spans="21:23">
      <c r="U854" s="693">
        <f t="shared" si="13"/>
        <v>40664</v>
      </c>
      <c r="V854" s="694">
        <v>40665</v>
      </c>
      <c r="W854" s="695">
        <v>1768.19</v>
      </c>
    </row>
    <row r="855" spans="21:23">
      <c r="U855" s="693">
        <f t="shared" si="13"/>
        <v>40664</v>
      </c>
      <c r="V855" s="694">
        <v>40666</v>
      </c>
      <c r="W855" s="695">
        <v>1768.37</v>
      </c>
    </row>
    <row r="856" spans="21:23">
      <c r="U856" s="693">
        <f t="shared" si="13"/>
        <v>40664</v>
      </c>
      <c r="V856" s="694">
        <v>40667</v>
      </c>
      <c r="W856" s="695">
        <v>1767.05</v>
      </c>
    </row>
    <row r="857" spans="21:23">
      <c r="U857" s="693">
        <f t="shared" si="13"/>
        <v>40664</v>
      </c>
      <c r="V857" s="694">
        <v>40668</v>
      </c>
      <c r="W857" s="695">
        <v>1763.45</v>
      </c>
    </row>
    <row r="858" spans="21:23">
      <c r="U858" s="693">
        <f t="shared" si="13"/>
        <v>40664</v>
      </c>
      <c r="V858" s="694">
        <v>40669</v>
      </c>
      <c r="W858" s="695">
        <v>1769.46</v>
      </c>
    </row>
    <row r="859" spans="21:23">
      <c r="U859" s="693">
        <f t="shared" si="13"/>
        <v>40664</v>
      </c>
      <c r="V859" s="694">
        <v>40670</v>
      </c>
      <c r="W859" s="695">
        <v>1763.12</v>
      </c>
    </row>
    <row r="860" spans="21:23">
      <c r="U860" s="693">
        <f t="shared" si="13"/>
        <v>40664</v>
      </c>
      <c r="V860" s="694">
        <v>40671</v>
      </c>
      <c r="W860" s="695">
        <v>1763.12</v>
      </c>
    </row>
    <row r="861" spans="21:23">
      <c r="U861" s="693">
        <f t="shared" si="13"/>
        <v>40664</v>
      </c>
      <c r="V861" s="694">
        <v>40672</v>
      </c>
      <c r="W861" s="695">
        <v>1763.12</v>
      </c>
    </row>
    <row r="862" spans="21:23">
      <c r="U862" s="693">
        <f t="shared" si="13"/>
        <v>40664</v>
      </c>
      <c r="V862" s="694">
        <v>40673</v>
      </c>
      <c r="W862" s="695">
        <v>1779.7</v>
      </c>
    </row>
    <row r="863" spans="21:23">
      <c r="U863" s="693">
        <f t="shared" si="13"/>
        <v>40664</v>
      </c>
      <c r="V863" s="694">
        <v>40674</v>
      </c>
      <c r="W863" s="695">
        <v>1791.72</v>
      </c>
    </row>
    <row r="864" spans="21:23">
      <c r="U864" s="693">
        <f t="shared" si="13"/>
        <v>40664</v>
      </c>
      <c r="V864" s="694">
        <v>40675</v>
      </c>
      <c r="W864" s="695">
        <v>1798.66</v>
      </c>
    </row>
    <row r="865" spans="21:23">
      <c r="U865" s="693">
        <f t="shared" si="13"/>
        <v>40664</v>
      </c>
      <c r="V865" s="694">
        <v>40676</v>
      </c>
      <c r="W865" s="695">
        <v>1807.86</v>
      </c>
    </row>
    <row r="866" spans="21:23">
      <c r="U866" s="693">
        <f t="shared" si="13"/>
        <v>40664</v>
      </c>
      <c r="V866" s="694">
        <v>40677</v>
      </c>
      <c r="W866" s="695">
        <v>1805.37</v>
      </c>
    </row>
    <row r="867" spans="21:23">
      <c r="U867" s="693">
        <f t="shared" si="13"/>
        <v>40664</v>
      </c>
      <c r="V867" s="694">
        <v>40678</v>
      </c>
      <c r="W867" s="695">
        <v>1805.37</v>
      </c>
    </row>
    <row r="868" spans="21:23">
      <c r="U868" s="693">
        <f t="shared" si="13"/>
        <v>40664</v>
      </c>
      <c r="V868" s="694">
        <v>40679</v>
      </c>
      <c r="W868" s="695">
        <v>1805.37</v>
      </c>
    </row>
    <row r="869" spans="21:23">
      <c r="U869" s="693">
        <f t="shared" si="13"/>
        <v>40664</v>
      </c>
      <c r="V869" s="694">
        <v>40680</v>
      </c>
      <c r="W869" s="695">
        <v>1814.98</v>
      </c>
    </row>
    <row r="870" spans="21:23">
      <c r="U870" s="693">
        <f t="shared" si="13"/>
        <v>40664</v>
      </c>
      <c r="V870" s="694">
        <v>40681</v>
      </c>
      <c r="W870" s="695">
        <v>1826.03</v>
      </c>
    </row>
    <row r="871" spans="21:23">
      <c r="U871" s="693">
        <f t="shared" si="13"/>
        <v>40664</v>
      </c>
      <c r="V871" s="694">
        <v>40682</v>
      </c>
      <c r="W871" s="695">
        <v>1824.62</v>
      </c>
    </row>
    <row r="872" spans="21:23">
      <c r="U872" s="693">
        <f t="shared" si="13"/>
        <v>40664</v>
      </c>
      <c r="V872" s="694">
        <v>40683</v>
      </c>
      <c r="W872" s="695">
        <v>1814.99</v>
      </c>
    </row>
    <row r="873" spans="21:23">
      <c r="U873" s="693">
        <f t="shared" si="13"/>
        <v>40664</v>
      </c>
      <c r="V873" s="694">
        <v>40684</v>
      </c>
      <c r="W873" s="695">
        <v>1819.86</v>
      </c>
    </row>
    <row r="874" spans="21:23">
      <c r="U874" s="693">
        <f t="shared" si="13"/>
        <v>40664</v>
      </c>
      <c r="V874" s="694">
        <v>40685</v>
      </c>
      <c r="W874" s="695">
        <v>1819.86</v>
      </c>
    </row>
    <row r="875" spans="21:23">
      <c r="U875" s="693">
        <f t="shared" si="13"/>
        <v>40664</v>
      </c>
      <c r="V875" s="694">
        <v>40686</v>
      </c>
      <c r="W875" s="695">
        <v>1819.86</v>
      </c>
    </row>
    <row r="876" spans="21:23">
      <c r="U876" s="693">
        <f t="shared" si="13"/>
        <v>40664</v>
      </c>
      <c r="V876" s="694">
        <v>40687</v>
      </c>
      <c r="W876" s="695">
        <v>1828.12</v>
      </c>
    </row>
    <row r="877" spans="21:23">
      <c r="U877" s="693">
        <f t="shared" si="13"/>
        <v>40664</v>
      </c>
      <c r="V877" s="694">
        <v>40688</v>
      </c>
      <c r="W877" s="695">
        <v>1828.64</v>
      </c>
    </row>
    <row r="878" spans="21:23">
      <c r="U878" s="693">
        <f t="shared" si="13"/>
        <v>40664</v>
      </c>
      <c r="V878" s="694">
        <v>40689</v>
      </c>
      <c r="W878" s="695">
        <v>1831.58</v>
      </c>
    </row>
    <row r="879" spans="21:23">
      <c r="U879" s="693">
        <f t="shared" si="13"/>
        <v>40664</v>
      </c>
      <c r="V879" s="694">
        <v>40690</v>
      </c>
      <c r="W879" s="695">
        <v>1829.75</v>
      </c>
    </row>
    <row r="880" spans="21:23">
      <c r="U880" s="693">
        <f t="shared" si="13"/>
        <v>40664</v>
      </c>
      <c r="V880" s="694">
        <v>40691</v>
      </c>
      <c r="W880" s="695">
        <v>1817.34</v>
      </c>
    </row>
    <row r="881" spans="21:23">
      <c r="U881" s="693">
        <f t="shared" si="13"/>
        <v>40664</v>
      </c>
      <c r="V881" s="694">
        <v>40692</v>
      </c>
      <c r="W881" s="695">
        <v>1817.34</v>
      </c>
    </row>
    <row r="882" spans="21:23">
      <c r="U882" s="693">
        <f t="shared" si="13"/>
        <v>40664</v>
      </c>
      <c r="V882" s="694">
        <v>40693</v>
      </c>
      <c r="W882" s="695">
        <v>1817.34</v>
      </c>
    </row>
    <row r="883" spans="21:23">
      <c r="U883" s="693">
        <f t="shared" si="13"/>
        <v>40664</v>
      </c>
      <c r="V883" s="694">
        <v>40694</v>
      </c>
      <c r="W883" s="695">
        <v>1817.34</v>
      </c>
    </row>
    <row r="884" spans="21:23">
      <c r="U884" s="693">
        <f t="shared" si="13"/>
        <v>40695</v>
      </c>
      <c r="V884" s="694">
        <v>40695</v>
      </c>
      <c r="W884" s="695">
        <v>1797.83</v>
      </c>
    </row>
    <row r="885" spans="21:23">
      <c r="U885" s="693">
        <f t="shared" si="13"/>
        <v>40695</v>
      </c>
      <c r="V885" s="694">
        <v>40696</v>
      </c>
      <c r="W885" s="695">
        <v>1789.41</v>
      </c>
    </row>
    <row r="886" spans="21:23">
      <c r="U886" s="693">
        <f t="shared" si="13"/>
        <v>40695</v>
      </c>
      <c r="V886" s="694">
        <v>40697</v>
      </c>
      <c r="W886" s="695">
        <v>1784.12</v>
      </c>
    </row>
    <row r="887" spans="21:23">
      <c r="U887" s="693">
        <f t="shared" si="13"/>
        <v>40695</v>
      </c>
      <c r="V887" s="694">
        <v>40698</v>
      </c>
      <c r="W887" s="695">
        <v>1785.05</v>
      </c>
    </row>
    <row r="888" spans="21:23">
      <c r="U888" s="693">
        <f t="shared" si="13"/>
        <v>40695</v>
      </c>
      <c r="V888" s="694">
        <v>40699</v>
      </c>
      <c r="W888" s="695">
        <v>1785.05</v>
      </c>
    </row>
    <row r="889" spans="21:23">
      <c r="U889" s="693">
        <f t="shared" si="13"/>
        <v>40695</v>
      </c>
      <c r="V889" s="694">
        <v>40700</v>
      </c>
      <c r="W889" s="695">
        <v>1785.05</v>
      </c>
    </row>
    <row r="890" spans="21:23">
      <c r="U890" s="693">
        <f t="shared" si="13"/>
        <v>40695</v>
      </c>
      <c r="V890" s="694">
        <v>40701</v>
      </c>
      <c r="W890" s="695">
        <v>1785.05</v>
      </c>
    </row>
    <row r="891" spans="21:23">
      <c r="U891" s="693">
        <f t="shared" si="13"/>
        <v>40695</v>
      </c>
      <c r="V891" s="694">
        <v>40702</v>
      </c>
      <c r="W891" s="695">
        <v>1770.13</v>
      </c>
    </row>
    <row r="892" spans="21:23">
      <c r="U892" s="693">
        <f t="shared" si="13"/>
        <v>40695</v>
      </c>
      <c r="V892" s="694">
        <v>40703</v>
      </c>
      <c r="W892" s="695">
        <v>1769.83</v>
      </c>
    </row>
    <row r="893" spans="21:23">
      <c r="U893" s="693">
        <f t="shared" si="13"/>
        <v>40695</v>
      </c>
      <c r="V893" s="694">
        <v>40704</v>
      </c>
      <c r="W893" s="695">
        <v>1772.59</v>
      </c>
    </row>
    <row r="894" spans="21:23">
      <c r="U894" s="693">
        <f t="shared" si="13"/>
        <v>40695</v>
      </c>
      <c r="V894" s="694">
        <v>40705</v>
      </c>
      <c r="W894" s="695">
        <v>1774.94</v>
      </c>
    </row>
    <row r="895" spans="21:23">
      <c r="U895" s="693">
        <f t="shared" si="13"/>
        <v>40695</v>
      </c>
      <c r="V895" s="694">
        <v>40706</v>
      </c>
      <c r="W895" s="695">
        <v>1774.94</v>
      </c>
    </row>
    <row r="896" spans="21:23">
      <c r="U896" s="693">
        <f t="shared" si="13"/>
        <v>40695</v>
      </c>
      <c r="V896" s="694">
        <v>40707</v>
      </c>
      <c r="W896" s="695">
        <v>1774.94</v>
      </c>
    </row>
    <row r="897" spans="21:23">
      <c r="U897" s="693">
        <f t="shared" si="13"/>
        <v>40695</v>
      </c>
      <c r="V897" s="694">
        <v>40708</v>
      </c>
      <c r="W897" s="695">
        <v>1777.64</v>
      </c>
    </row>
    <row r="898" spans="21:23">
      <c r="U898" s="693">
        <f t="shared" si="13"/>
        <v>40695</v>
      </c>
      <c r="V898" s="694">
        <v>40709</v>
      </c>
      <c r="W898" s="695">
        <v>1774.24</v>
      </c>
    </row>
    <row r="899" spans="21:23">
      <c r="U899" s="693">
        <f t="shared" ref="U899:U962" si="14">+DATE(YEAR(V899),MONTH(V899),1)</f>
        <v>40695</v>
      </c>
      <c r="V899" s="694">
        <v>40710</v>
      </c>
      <c r="W899" s="695">
        <v>1781.4</v>
      </c>
    </row>
    <row r="900" spans="21:23">
      <c r="U900" s="693">
        <f t="shared" si="14"/>
        <v>40695</v>
      </c>
      <c r="V900" s="694">
        <v>40711</v>
      </c>
      <c r="W900" s="695">
        <v>1793.92</v>
      </c>
    </row>
    <row r="901" spans="21:23">
      <c r="U901" s="693">
        <f t="shared" si="14"/>
        <v>40695</v>
      </c>
      <c r="V901" s="694">
        <v>40712</v>
      </c>
      <c r="W901" s="695">
        <v>1787.8</v>
      </c>
    </row>
    <row r="902" spans="21:23">
      <c r="U902" s="693">
        <f t="shared" si="14"/>
        <v>40695</v>
      </c>
      <c r="V902" s="694">
        <v>40713</v>
      </c>
      <c r="W902" s="695">
        <v>1787.8</v>
      </c>
    </row>
    <row r="903" spans="21:23">
      <c r="U903" s="693">
        <f t="shared" si="14"/>
        <v>40695</v>
      </c>
      <c r="V903" s="694">
        <v>40714</v>
      </c>
      <c r="W903" s="695">
        <v>1787.8</v>
      </c>
    </row>
    <row r="904" spans="21:23">
      <c r="U904" s="693">
        <f t="shared" si="14"/>
        <v>40695</v>
      </c>
      <c r="V904" s="694">
        <v>40715</v>
      </c>
      <c r="W904" s="695">
        <v>1789.47</v>
      </c>
    </row>
    <row r="905" spans="21:23">
      <c r="U905" s="693">
        <f t="shared" si="14"/>
        <v>40695</v>
      </c>
      <c r="V905" s="694">
        <v>40716</v>
      </c>
      <c r="W905" s="695">
        <v>1780.48</v>
      </c>
    </row>
    <row r="906" spans="21:23">
      <c r="U906" s="693">
        <f t="shared" si="14"/>
        <v>40695</v>
      </c>
      <c r="V906" s="694">
        <v>40717</v>
      </c>
      <c r="W906" s="695">
        <v>1779.1</v>
      </c>
    </row>
    <row r="907" spans="21:23">
      <c r="U907" s="693">
        <f t="shared" si="14"/>
        <v>40695</v>
      </c>
      <c r="V907" s="694">
        <v>40718</v>
      </c>
      <c r="W907" s="695">
        <v>1788.11</v>
      </c>
    </row>
    <row r="908" spans="21:23">
      <c r="U908" s="693">
        <f t="shared" si="14"/>
        <v>40695</v>
      </c>
      <c r="V908" s="694">
        <v>40719</v>
      </c>
      <c r="W908" s="695">
        <v>1787.8</v>
      </c>
    </row>
    <row r="909" spans="21:23">
      <c r="U909" s="693">
        <f t="shared" si="14"/>
        <v>40695</v>
      </c>
      <c r="V909" s="694">
        <v>40720</v>
      </c>
      <c r="W909" s="695">
        <v>1787.8</v>
      </c>
    </row>
    <row r="910" spans="21:23">
      <c r="U910" s="693">
        <f t="shared" si="14"/>
        <v>40695</v>
      </c>
      <c r="V910" s="694">
        <v>40721</v>
      </c>
      <c r="W910" s="695">
        <v>1787.8</v>
      </c>
    </row>
    <row r="911" spans="21:23">
      <c r="U911" s="693">
        <f t="shared" si="14"/>
        <v>40695</v>
      </c>
      <c r="V911" s="694">
        <v>40722</v>
      </c>
      <c r="W911" s="695">
        <v>1787.8</v>
      </c>
    </row>
    <row r="912" spans="21:23">
      <c r="U912" s="693">
        <f t="shared" si="14"/>
        <v>40695</v>
      </c>
      <c r="V912" s="694">
        <v>40723</v>
      </c>
      <c r="W912" s="695">
        <v>1786.73</v>
      </c>
    </row>
    <row r="913" spans="21:23">
      <c r="U913" s="693">
        <f t="shared" si="14"/>
        <v>40695</v>
      </c>
      <c r="V913" s="694">
        <v>40724</v>
      </c>
      <c r="W913" s="695">
        <v>1780.16</v>
      </c>
    </row>
    <row r="914" spans="21:23">
      <c r="U914" s="693">
        <f t="shared" si="14"/>
        <v>40725</v>
      </c>
      <c r="V914" s="694">
        <v>40725</v>
      </c>
      <c r="W914" s="695">
        <v>1772.32</v>
      </c>
    </row>
    <row r="915" spans="21:23">
      <c r="U915" s="693">
        <f t="shared" si="14"/>
        <v>40725</v>
      </c>
      <c r="V915" s="694">
        <v>40726</v>
      </c>
      <c r="W915" s="695">
        <v>1762.59</v>
      </c>
    </row>
    <row r="916" spans="21:23">
      <c r="U916" s="693">
        <f t="shared" si="14"/>
        <v>40725</v>
      </c>
      <c r="V916" s="694">
        <v>40727</v>
      </c>
      <c r="W916" s="695">
        <v>1762.59</v>
      </c>
    </row>
    <row r="917" spans="21:23">
      <c r="U917" s="693">
        <f t="shared" si="14"/>
        <v>40725</v>
      </c>
      <c r="V917" s="694">
        <v>40728</v>
      </c>
      <c r="W917" s="695">
        <v>1762.59</v>
      </c>
    </row>
    <row r="918" spans="21:23">
      <c r="U918" s="693">
        <f t="shared" si="14"/>
        <v>40725</v>
      </c>
      <c r="V918" s="694">
        <v>40729</v>
      </c>
      <c r="W918" s="695">
        <v>1762.59</v>
      </c>
    </row>
    <row r="919" spans="21:23">
      <c r="U919" s="693">
        <f t="shared" si="14"/>
        <v>40725</v>
      </c>
      <c r="V919" s="694">
        <v>40730</v>
      </c>
      <c r="W919" s="695">
        <v>1766.57</v>
      </c>
    </row>
    <row r="920" spans="21:23">
      <c r="U920" s="693">
        <f t="shared" si="14"/>
        <v>40725</v>
      </c>
      <c r="V920" s="694">
        <v>40731</v>
      </c>
      <c r="W920" s="695">
        <v>1767.47</v>
      </c>
    </row>
    <row r="921" spans="21:23">
      <c r="U921" s="693">
        <f t="shared" si="14"/>
        <v>40725</v>
      </c>
      <c r="V921" s="694">
        <v>40732</v>
      </c>
      <c r="W921" s="695">
        <v>1759.38</v>
      </c>
    </row>
    <row r="922" spans="21:23">
      <c r="U922" s="693">
        <f t="shared" si="14"/>
        <v>40725</v>
      </c>
      <c r="V922" s="694">
        <v>40733</v>
      </c>
      <c r="W922" s="695">
        <v>1759.41</v>
      </c>
    </row>
    <row r="923" spans="21:23">
      <c r="U923" s="693">
        <f t="shared" si="14"/>
        <v>40725</v>
      </c>
      <c r="V923" s="694">
        <v>40734</v>
      </c>
      <c r="W923" s="695">
        <v>1759.41</v>
      </c>
    </row>
    <row r="924" spans="21:23">
      <c r="U924" s="693">
        <f t="shared" si="14"/>
        <v>40725</v>
      </c>
      <c r="V924" s="694">
        <v>40735</v>
      </c>
      <c r="W924" s="695">
        <v>1759.41</v>
      </c>
    </row>
    <row r="925" spans="21:23">
      <c r="U925" s="693">
        <f t="shared" si="14"/>
        <v>40725</v>
      </c>
      <c r="V925" s="694">
        <v>40736</v>
      </c>
      <c r="W925" s="695">
        <v>1768.42</v>
      </c>
    </row>
    <row r="926" spans="21:23">
      <c r="U926" s="693">
        <f t="shared" si="14"/>
        <v>40725</v>
      </c>
      <c r="V926" s="694">
        <v>40737</v>
      </c>
      <c r="W926" s="695">
        <v>1765.32</v>
      </c>
    </row>
    <row r="927" spans="21:23">
      <c r="U927" s="693">
        <f t="shared" si="14"/>
        <v>40725</v>
      </c>
      <c r="V927" s="694">
        <v>40738</v>
      </c>
      <c r="W927" s="695">
        <v>1758.25</v>
      </c>
    </row>
    <row r="928" spans="21:23">
      <c r="U928" s="693">
        <f t="shared" si="14"/>
        <v>40725</v>
      </c>
      <c r="V928" s="694">
        <v>40739</v>
      </c>
      <c r="W928" s="695">
        <v>1748.41</v>
      </c>
    </row>
    <row r="929" spans="21:23">
      <c r="U929" s="693">
        <f t="shared" si="14"/>
        <v>40725</v>
      </c>
      <c r="V929" s="694">
        <v>40740</v>
      </c>
      <c r="W929" s="695">
        <v>1750.9</v>
      </c>
    </row>
    <row r="930" spans="21:23">
      <c r="U930" s="693">
        <f t="shared" si="14"/>
        <v>40725</v>
      </c>
      <c r="V930" s="694">
        <v>40741</v>
      </c>
      <c r="W930" s="695">
        <v>1750.9</v>
      </c>
    </row>
    <row r="931" spans="21:23">
      <c r="U931" s="693">
        <f t="shared" si="14"/>
        <v>40725</v>
      </c>
      <c r="V931" s="694">
        <v>40742</v>
      </c>
      <c r="W931" s="695">
        <v>1750.9</v>
      </c>
    </row>
    <row r="932" spans="21:23">
      <c r="U932" s="693">
        <f t="shared" si="14"/>
        <v>40725</v>
      </c>
      <c r="V932" s="694">
        <v>40743</v>
      </c>
      <c r="W932" s="695">
        <v>1758.99</v>
      </c>
    </row>
    <row r="933" spans="21:23">
      <c r="U933" s="693">
        <f t="shared" si="14"/>
        <v>40725</v>
      </c>
      <c r="V933" s="694">
        <v>40744</v>
      </c>
      <c r="W933" s="695">
        <v>1757.49</v>
      </c>
    </row>
    <row r="934" spans="21:23">
      <c r="U934" s="693">
        <f t="shared" si="14"/>
        <v>40725</v>
      </c>
      <c r="V934" s="694">
        <v>40745</v>
      </c>
      <c r="W934" s="695">
        <v>1757.49</v>
      </c>
    </row>
    <row r="935" spans="21:23">
      <c r="U935" s="693">
        <f t="shared" si="14"/>
        <v>40725</v>
      </c>
      <c r="V935" s="694">
        <v>40746</v>
      </c>
      <c r="W935" s="695">
        <v>1756.38</v>
      </c>
    </row>
    <row r="936" spans="21:23">
      <c r="U936" s="693">
        <f t="shared" si="14"/>
        <v>40725</v>
      </c>
      <c r="V936" s="694">
        <v>40747</v>
      </c>
      <c r="W936" s="695">
        <v>1757.35</v>
      </c>
    </row>
    <row r="937" spans="21:23">
      <c r="U937" s="693">
        <f t="shared" si="14"/>
        <v>40725</v>
      </c>
      <c r="V937" s="694">
        <v>40748</v>
      </c>
      <c r="W937" s="695">
        <v>1757.35</v>
      </c>
    </row>
    <row r="938" spans="21:23">
      <c r="U938" s="693">
        <f t="shared" si="14"/>
        <v>40725</v>
      </c>
      <c r="V938" s="694">
        <v>40749</v>
      </c>
      <c r="W938" s="695">
        <v>1757.35</v>
      </c>
    </row>
    <row r="939" spans="21:23">
      <c r="U939" s="693">
        <f t="shared" si="14"/>
        <v>40725</v>
      </c>
      <c r="V939" s="694">
        <v>40750</v>
      </c>
      <c r="W939" s="695">
        <v>1768.02</v>
      </c>
    </row>
    <row r="940" spans="21:23">
      <c r="U940" s="693">
        <f t="shared" si="14"/>
        <v>40725</v>
      </c>
      <c r="V940" s="694">
        <v>40751</v>
      </c>
      <c r="W940" s="695">
        <v>1759.88</v>
      </c>
    </row>
    <row r="941" spans="21:23">
      <c r="U941" s="693">
        <f t="shared" si="14"/>
        <v>40725</v>
      </c>
      <c r="V941" s="694">
        <v>40752</v>
      </c>
      <c r="W941" s="695">
        <v>1764.89</v>
      </c>
    </row>
    <row r="942" spans="21:23">
      <c r="U942" s="693">
        <f t="shared" si="14"/>
        <v>40725</v>
      </c>
      <c r="V942" s="694">
        <v>40753</v>
      </c>
      <c r="W942" s="695">
        <v>1771.15</v>
      </c>
    </row>
    <row r="943" spans="21:23">
      <c r="U943" s="693">
        <f t="shared" si="14"/>
        <v>40725</v>
      </c>
      <c r="V943" s="694">
        <v>40754</v>
      </c>
      <c r="W943" s="695">
        <v>1777.82</v>
      </c>
    </row>
    <row r="944" spans="21:23">
      <c r="U944" s="693">
        <f t="shared" si="14"/>
        <v>40725</v>
      </c>
      <c r="V944" s="694">
        <v>40755</v>
      </c>
      <c r="W944" s="695">
        <v>1777.82</v>
      </c>
    </row>
    <row r="945" spans="21:23">
      <c r="U945" s="693">
        <f t="shared" si="14"/>
        <v>40756</v>
      </c>
      <c r="V945" s="694">
        <v>40756</v>
      </c>
      <c r="W945" s="695">
        <v>1777.82</v>
      </c>
    </row>
    <row r="946" spans="21:23">
      <c r="U946" s="693">
        <f t="shared" si="14"/>
        <v>40756</v>
      </c>
      <c r="V946" s="694">
        <v>40757</v>
      </c>
      <c r="W946" s="695">
        <v>1771.81</v>
      </c>
    </row>
    <row r="947" spans="21:23">
      <c r="U947" s="693">
        <f t="shared" si="14"/>
        <v>40756</v>
      </c>
      <c r="V947" s="694">
        <v>40758</v>
      </c>
      <c r="W947" s="695">
        <v>1765.53</v>
      </c>
    </row>
    <row r="948" spans="21:23">
      <c r="U948" s="693">
        <f t="shared" si="14"/>
        <v>40756</v>
      </c>
      <c r="V948" s="694">
        <v>40759</v>
      </c>
      <c r="W948" s="695">
        <v>1772.52</v>
      </c>
    </row>
    <row r="949" spans="21:23">
      <c r="U949" s="693">
        <f t="shared" si="14"/>
        <v>40756</v>
      </c>
      <c r="V949" s="694">
        <v>40760</v>
      </c>
      <c r="W949" s="695">
        <v>1781.33</v>
      </c>
    </row>
    <row r="950" spans="21:23">
      <c r="U950" s="693">
        <f t="shared" si="14"/>
        <v>40756</v>
      </c>
      <c r="V950" s="694">
        <v>40761</v>
      </c>
      <c r="W950" s="695">
        <v>1792.68</v>
      </c>
    </row>
    <row r="951" spans="21:23">
      <c r="U951" s="693">
        <f t="shared" si="14"/>
        <v>40756</v>
      </c>
      <c r="V951" s="694">
        <v>40762</v>
      </c>
      <c r="W951" s="695">
        <v>1792.68</v>
      </c>
    </row>
    <row r="952" spans="21:23">
      <c r="U952" s="693">
        <f t="shared" si="14"/>
        <v>40756</v>
      </c>
      <c r="V952" s="694">
        <v>40763</v>
      </c>
      <c r="W952" s="695">
        <v>1792.68</v>
      </c>
    </row>
    <row r="953" spans="21:23">
      <c r="U953" s="693">
        <f t="shared" si="14"/>
        <v>40756</v>
      </c>
      <c r="V953" s="694">
        <v>40764</v>
      </c>
      <c r="W953" s="695">
        <v>1811.18</v>
      </c>
    </row>
    <row r="954" spans="21:23">
      <c r="U954" s="693">
        <f t="shared" si="14"/>
        <v>40756</v>
      </c>
      <c r="V954" s="694">
        <v>40765</v>
      </c>
      <c r="W954" s="695">
        <v>1811.68</v>
      </c>
    </row>
    <row r="955" spans="21:23">
      <c r="U955" s="693">
        <f t="shared" si="14"/>
        <v>40756</v>
      </c>
      <c r="V955" s="694">
        <v>40766</v>
      </c>
      <c r="W955" s="695">
        <v>1800.97</v>
      </c>
    </row>
    <row r="956" spans="21:23">
      <c r="U956" s="693">
        <f t="shared" si="14"/>
        <v>40756</v>
      </c>
      <c r="V956" s="694">
        <v>40767</v>
      </c>
      <c r="W956" s="695">
        <v>1793.47</v>
      </c>
    </row>
    <row r="957" spans="21:23">
      <c r="U957" s="693">
        <f t="shared" si="14"/>
        <v>40756</v>
      </c>
      <c r="V957" s="694">
        <v>40768</v>
      </c>
      <c r="W957" s="695">
        <v>1783.35</v>
      </c>
    </row>
    <row r="958" spans="21:23">
      <c r="U958" s="693">
        <f t="shared" si="14"/>
        <v>40756</v>
      </c>
      <c r="V958" s="694">
        <v>40769</v>
      </c>
      <c r="W958" s="695">
        <v>1783.35</v>
      </c>
    </row>
    <row r="959" spans="21:23">
      <c r="U959" s="693">
        <f t="shared" si="14"/>
        <v>40756</v>
      </c>
      <c r="V959" s="694">
        <v>40770</v>
      </c>
      <c r="W959" s="695">
        <v>1783.35</v>
      </c>
    </row>
    <row r="960" spans="21:23">
      <c r="U960" s="693">
        <f t="shared" si="14"/>
        <v>40756</v>
      </c>
      <c r="V960" s="694">
        <v>40771</v>
      </c>
      <c r="W960" s="695">
        <v>1783.35</v>
      </c>
    </row>
    <row r="961" spans="21:23">
      <c r="U961" s="693">
        <f t="shared" si="14"/>
        <v>40756</v>
      </c>
      <c r="V961" s="694">
        <v>40772</v>
      </c>
      <c r="W961" s="695">
        <v>1776.66</v>
      </c>
    </row>
    <row r="962" spans="21:23">
      <c r="U962" s="693">
        <f t="shared" si="14"/>
        <v>40756</v>
      </c>
      <c r="V962" s="694">
        <v>40773</v>
      </c>
      <c r="W962" s="695">
        <v>1767.29</v>
      </c>
    </row>
    <row r="963" spans="21:23">
      <c r="U963" s="693">
        <f t="shared" ref="U963:U1026" si="15">+DATE(YEAR(V963),MONTH(V963),1)</f>
        <v>40756</v>
      </c>
      <c r="V963" s="694">
        <v>40774</v>
      </c>
      <c r="W963" s="695">
        <v>1775.84</v>
      </c>
    </row>
    <row r="964" spans="21:23">
      <c r="U964" s="693">
        <f t="shared" si="15"/>
        <v>40756</v>
      </c>
      <c r="V964" s="694">
        <v>40775</v>
      </c>
      <c r="W964" s="695">
        <v>1779.05</v>
      </c>
    </row>
    <row r="965" spans="21:23">
      <c r="U965" s="693">
        <f t="shared" si="15"/>
        <v>40756</v>
      </c>
      <c r="V965" s="694">
        <v>40776</v>
      </c>
      <c r="W965" s="695">
        <v>1779.05</v>
      </c>
    </row>
    <row r="966" spans="21:23">
      <c r="U966" s="693">
        <f t="shared" si="15"/>
        <v>40756</v>
      </c>
      <c r="V966" s="694">
        <v>40777</v>
      </c>
      <c r="W966" s="695">
        <v>1779.05</v>
      </c>
    </row>
    <row r="967" spans="21:23">
      <c r="U967" s="693">
        <f t="shared" si="15"/>
        <v>40756</v>
      </c>
      <c r="V967" s="694">
        <v>40778</v>
      </c>
      <c r="W967" s="695">
        <v>1779.86</v>
      </c>
    </row>
    <row r="968" spans="21:23">
      <c r="U968" s="693">
        <f t="shared" si="15"/>
        <v>40756</v>
      </c>
      <c r="V968" s="694">
        <v>40779</v>
      </c>
      <c r="W968" s="695">
        <v>1781.91</v>
      </c>
    </row>
    <row r="969" spans="21:23">
      <c r="U969" s="693">
        <f t="shared" si="15"/>
        <v>40756</v>
      </c>
      <c r="V969" s="694">
        <v>40780</v>
      </c>
      <c r="W969" s="695">
        <v>1791.61</v>
      </c>
    </row>
    <row r="970" spans="21:23">
      <c r="U970" s="693">
        <f t="shared" si="15"/>
        <v>40756</v>
      </c>
      <c r="V970" s="694">
        <v>40781</v>
      </c>
      <c r="W970" s="695">
        <v>1791.05</v>
      </c>
    </row>
    <row r="971" spans="21:23">
      <c r="U971" s="693">
        <f t="shared" si="15"/>
        <v>40756</v>
      </c>
      <c r="V971" s="694">
        <v>40782</v>
      </c>
      <c r="W971" s="695">
        <v>1794.02</v>
      </c>
    </row>
    <row r="972" spans="21:23">
      <c r="U972" s="693">
        <f t="shared" si="15"/>
        <v>40756</v>
      </c>
      <c r="V972" s="694">
        <v>40783</v>
      </c>
      <c r="W972" s="695">
        <v>1794.02</v>
      </c>
    </row>
    <row r="973" spans="21:23">
      <c r="U973" s="693">
        <f t="shared" si="15"/>
        <v>40756</v>
      </c>
      <c r="V973" s="694">
        <v>40784</v>
      </c>
      <c r="W973" s="695">
        <v>1794.02</v>
      </c>
    </row>
    <row r="974" spans="21:23">
      <c r="U974" s="693">
        <f t="shared" si="15"/>
        <v>40756</v>
      </c>
      <c r="V974" s="694">
        <v>40785</v>
      </c>
      <c r="W974" s="695">
        <v>1787.52</v>
      </c>
    </row>
    <row r="975" spans="21:23">
      <c r="U975" s="693">
        <f t="shared" si="15"/>
        <v>40756</v>
      </c>
      <c r="V975" s="694">
        <v>40786</v>
      </c>
      <c r="W975" s="695">
        <v>1783.66</v>
      </c>
    </row>
    <row r="976" spans="21:23">
      <c r="U976" s="693">
        <f t="shared" si="15"/>
        <v>40787</v>
      </c>
      <c r="V976" s="694">
        <v>40787</v>
      </c>
      <c r="W976" s="695">
        <v>1780.26</v>
      </c>
    </row>
    <row r="977" spans="21:23">
      <c r="U977" s="693">
        <f t="shared" si="15"/>
        <v>40787</v>
      </c>
      <c r="V977" s="694">
        <v>40788</v>
      </c>
      <c r="W977" s="695">
        <v>1778.51</v>
      </c>
    </row>
    <row r="978" spans="21:23">
      <c r="U978" s="693">
        <f t="shared" si="15"/>
        <v>40787</v>
      </c>
      <c r="V978" s="694">
        <v>40789</v>
      </c>
      <c r="W978" s="695">
        <v>1782.8</v>
      </c>
    </row>
    <row r="979" spans="21:23">
      <c r="U979" s="693">
        <f t="shared" si="15"/>
        <v>40787</v>
      </c>
      <c r="V979" s="694">
        <v>40790</v>
      </c>
      <c r="W979" s="695">
        <v>1782.8</v>
      </c>
    </row>
    <row r="980" spans="21:23">
      <c r="U980" s="693">
        <f t="shared" si="15"/>
        <v>40787</v>
      </c>
      <c r="V980" s="694">
        <v>40791</v>
      </c>
      <c r="W980" s="695">
        <v>1782.8</v>
      </c>
    </row>
    <row r="981" spans="21:23">
      <c r="U981" s="693">
        <f t="shared" si="15"/>
        <v>40787</v>
      </c>
      <c r="V981" s="694">
        <v>40792</v>
      </c>
      <c r="W981" s="695">
        <v>1782.8</v>
      </c>
    </row>
    <row r="982" spans="21:23">
      <c r="U982" s="693">
        <f t="shared" si="15"/>
        <v>40787</v>
      </c>
      <c r="V982" s="694">
        <v>40793</v>
      </c>
      <c r="W982" s="695">
        <v>1791.89</v>
      </c>
    </row>
    <row r="983" spans="21:23">
      <c r="U983" s="693">
        <f t="shared" si="15"/>
        <v>40787</v>
      </c>
      <c r="V983" s="694">
        <v>40794</v>
      </c>
      <c r="W983" s="695">
        <v>1789.3</v>
      </c>
    </row>
    <row r="984" spans="21:23">
      <c r="U984" s="693">
        <f t="shared" si="15"/>
        <v>40787</v>
      </c>
      <c r="V984" s="694">
        <v>40795</v>
      </c>
      <c r="W984" s="695">
        <v>1789.9</v>
      </c>
    </row>
    <row r="985" spans="21:23">
      <c r="U985" s="693">
        <f t="shared" si="15"/>
        <v>40787</v>
      </c>
      <c r="V985" s="694">
        <v>40796</v>
      </c>
      <c r="W985" s="695">
        <v>1796.58</v>
      </c>
    </row>
    <row r="986" spans="21:23">
      <c r="U986" s="693">
        <f t="shared" si="15"/>
        <v>40787</v>
      </c>
      <c r="V986" s="694">
        <v>40797</v>
      </c>
      <c r="W986" s="695">
        <v>1796.58</v>
      </c>
    </row>
    <row r="987" spans="21:23">
      <c r="U987" s="693">
        <f t="shared" si="15"/>
        <v>40787</v>
      </c>
      <c r="V987" s="694">
        <v>40798</v>
      </c>
      <c r="W987" s="695">
        <v>1796.58</v>
      </c>
    </row>
    <row r="988" spans="21:23">
      <c r="U988" s="693">
        <f t="shared" si="15"/>
        <v>40787</v>
      </c>
      <c r="V988" s="694">
        <v>40799</v>
      </c>
      <c r="W988" s="695">
        <v>1811.34</v>
      </c>
    </row>
    <row r="989" spans="21:23">
      <c r="U989" s="693">
        <f t="shared" si="15"/>
        <v>40787</v>
      </c>
      <c r="V989" s="694">
        <v>40800</v>
      </c>
      <c r="W989" s="695">
        <v>1813.42</v>
      </c>
    </row>
    <row r="990" spans="21:23">
      <c r="U990" s="693">
        <f t="shared" si="15"/>
        <v>40787</v>
      </c>
      <c r="V990" s="694">
        <v>40801</v>
      </c>
      <c r="W990" s="695">
        <v>1824.15</v>
      </c>
    </row>
    <row r="991" spans="21:23">
      <c r="U991" s="693">
        <f t="shared" si="15"/>
        <v>40787</v>
      </c>
      <c r="V991" s="694">
        <v>40802</v>
      </c>
      <c r="W991" s="695">
        <v>1822.04</v>
      </c>
    </row>
    <row r="992" spans="21:23">
      <c r="U992" s="693">
        <f t="shared" si="15"/>
        <v>40787</v>
      </c>
      <c r="V992" s="694">
        <v>40803</v>
      </c>
      <c r="W992" s="695">
        <v>1820.29</v>
      </c>
    </row>
    <row r="993" spans="21:23">
      <c r="U993" s="693">
        <f t="shared" si="15"/>
        <v>40787</v>
      </c>
      <c r="V993" s="694">
        <v>40804</v>
      </c>
      <c r="W993" s="695">
        <v>1820.29</v>
      </c>
    </row>
    <row r="994" spans="21:23">
      <c r="U994" s="693">
        <f t="shared" si="15"/>
        <v>40787</v>
      </c>
      <c r="V994" s="694">
        <v>40805</v>
      </c>
      <c r="W994" s="695">
        <v>1820.29</v>
      </c>
    </row>
    <row r="995" spans="21:23">
      <c r="U995" s="693">
        <f t="shared" si="15"/>
        <v>40787</v>
      </c>
      <c r="V995" s="694">
        <v>40806</v>
      </c>
      <c r="W995" s="695">
        <v>1843.26</v>
      </c>
    </row>
    <row r="996" spans="21:23">
      <c r="U996" s="693">
        <f t="shared" si="15"/>
        <v>40787</v>
      </c>
      <c r="V996" s="694">
        <v>40807</v>
      </c>
      <c r="W996" s="695">
        <v>1854.96</v>
      </c>
    </row>
    <row r="997" spans="21:23">
      <c r="U997" s="693">
        <f t="shared" si="15"/>
        <v>40787</v>
      </c>
      <c r="V997" s="694">
        <v>40808</v>
      </c>
      <c r="W997" s="695">
        <v>1882.23</v>
      </c>
    </row>
    <row r="998" spans="21:23">
      <c r="U998" s="693">
        <f t="shared" si="15"/>
        <v>40787</v>
      </c>
      <c r="V998" s="694">
        <v>40809</v>
      </c>
      <c r="W998" s="695">
        <v>1915.63</v>
      </c>
    </row>
    <row r="999" spans="21:23">
      <c r="U999" s="693">
        <f t="shared" si="15"/>
        <v>40787</v>
      </c>
      <c r="V999" s="694">
        <v>40810</v>
      </c>
      <c r="W999" s="695">
        <v>1902.45</v>
      </c>
    </row>
    <row r="1000" spans="21:23">
      <c r="U1000" s="693">
        <f t="shared" si="15"/>
        <v>40787</v>
      </c>
      <c r="V1000" s="694">
        <v>40811</v>
      </c>
      <c r="W1000" s="695">
        <v>1902.45</v>
      </c>
    </row>
    <row r="1001" spans="21:23">
      <c r="U1001" s="693">
        <f t="shared" si="15"/>
        <v>40787</v>
      </c>
      <c r="V1001" s="694">
        <v>40812</v>
      </c>
      <c r="W1001" s="695">
        <v>1902.45</v>
      </c>
    </row>
    <row r="1002" spans="21:23">
      <c r="U1002" s="693">
        <f t="shared" si="15"/>
        <v>40787</v>
      </c>
      <c r="V1002" s="694">
        <v>40813</v>
      </c>
      <c r="W1002" s="695">
        <v>1903.31</v>
      </c>
    </row>
    <row r="1003" spans="21:23">
      <c r="U1003" s="693">
        <f t="shared" si="15"/>
        <v>40787</v>
      </c>
      <c r="V1003" s="694">
        <v>40814</v>
      </c>
      <c r="W1003" s="695">
        <v>1887.38</v>
      </c>
    </row>
    <row r="1004" spans="21:23">
      <c r="U1004" s="693">
        <f t="shared" si="15"/>
        <v>40787</v>
      </c>
      <c r="V1004" s="694">
        <v>40815</v>
      </c>
      <c r="W1004" s="695">
        <v>1907.75</v>
      </c>
    </row>
    <row r="1005" spans="21:23">
      <c r="U1005" s="693">
        <f t="shared" si="15"/>
        <v>40787</v>
      </c>
      <c r="V1005" s="694">
        <v>40816</v>
      </c>
      <c r="W1005" s="695">
        <v>1915.1</v>
      </c>
    </row>
    <row r="1006" spans="21:23">
      <c r="U1006" s="693">
        <f t="shared" si="15"/>
        <v>40817</v>
      </c>
      <c r="V1006" s="694">
        <v>40817</v>
      </c>
      <c r="W1006" s="695">
        <v>1929.01</v>
      </c>
    </row>
    <row r="1007" spans="21:23">
      <c r="U1007" s="693">
        <f t="shared" si="15"/>
        <v>40817</v>
      </c>
      <c r="V1007" s="694">
        <v>40818</v>
      </c>
      <c r="W1007" s="695">
        <v>1929.01</v>
      </c>
    </row>
    <row r="1008" spans="21:23">
      <c r="U1008" s="693">
        <f t="shared" si="15"/>
        <v>40817</v>
      </c>
      <c r="V1008" s="694">
        <v>40819</v>
      </c>
      <c r="W1008" s="695">
        <v>1929.01</v>
      </c>
    </row>
    <row r="1009" spans="21:23">
      <c r="U1009" s="693">
        <f t="shared" si="15"/>
        <v>40817</v>
      </c>
      <c r="V1009" s="694">
        <v>40820</v>
      </c>
      <c r="W1009" s="695">
        <v>1943.8</v>
      </c>
    </row>
    <row r="1010" spans="21:23">
      <c r="U1010" s="693">
        <f t="shared" si="15"/>
        <v>40817</v>
      </c>
      <c r="V1010" s="694">
        <v>40821</v>
      </c>
      <c r="W1010" s="695">
        <v>1972.76</v>
      </c>
    </row>
    <row r="1011" spans="21:23">
      <c r="U1011" s="693">
        <f t="shared" si="15"/>
        <v>40817</v>
      </c>
      <c r="V1011" s="694">
        <v>40822</v>
      </c>
      <c r="W1011" s="695">
        <v>1967.56</v>
      </c>
    </row>
    <row r="1012" spans="21:23">
      <c r="U1012" s="693">
        <f t="shared" si="15"/>
        <v>40817</v>
      </c>
      <c r="V1012" s="694">
        <v>40823</v>
      </c>
      <c r="W1012" s="695">
        <v>1952.09</v>
      </c>
    </row>
    <row r="1013" spans="21:23">
      <c r="U1013" s="693">
        <f t="shared" si="15"/>
        <v>40817</v>
      </c>
      <c r="V1013" s="694">
        <v>40824</v>
      </c>
      <c r="W1013" s="695">
        <v>1931.64</v>
      </c>
    </row>
    <row r="1014" spans="21:23">
      <c r="U1014" s="693">
        <f t="shared" si="15"/>
        <v>40817</v>
      </c>
      <c r="V1014" s="694">
        <v>40825</v>
      </c>
      <c r="W1014" s="695">
        <v>1931.64</v>
      </c>
    </row>
    <row r="1015" spans="21:23">
      <c r="U1015" s="693">
        <f t="shared" si="15"/>
        <v>40817</v>
      </c>
      <c r="V1015" s="694">
        <v>40826</v>
      </c>
      <c r="W1015" s="695">
        <v>1931.64</v>
      </c>
    </row>
    <row r="1016" spans="21:23">
      <c r="U1016" s="693">
        <f t="shared" si="15"/>
        <v>40817</v>
      </c>
      <c r="V1016" s="694">
        <v>40827</v>
      </c>
      <c r="W1016" s="695">
        <v>1931.64</v>
      </c>
    </row>
    <row r="1017" spans="21:23">
      <c r="U1017" s="693">
        <f t="shared" si="15"/>
        <v>40817</v>
      </c>
      <c r="V1017" s="694">
        <v>40828</v>
      </c>
      <c r="W1017" s="695">
        <v>1913.6</v>
      </c>
    </row>
    <row r="1018" spans="21:23">
      <c r="U1018" s="693">
        <f t="shared" si="15"/>
        <v>40817</v>
      </c>
      <c r="V1018" s="694">
        <v>40829</v>
      </c>
      <c r="W1018" s="695">
        <v>1896.72</v>
      </c>
    </row>
    <row r="1019" spans="21:23">
      <c r="U1019" s="693">
        <f t="shared" si="15"/>
        <v>40817</v>
      </c>
      <c r="V1019" s="694">
        <v>40830</v>
      </c>
      <c r="W1019" s="695">
        <v>1909.12</v>
      </c>
    </row>
    <row r="1020" spans="21:23">
      <c r="U1020" s="693">
        <f t="shared" si="15"/>
        <v>40817</v>
      </c>
      <c r="V1020" s="694">
        <v>40831</v>
      </c>
      <c r="W1020" s="695">
        <v>1895.33</v>
      </c>
    </row>
    <row r="1021" spans="21:23">
      <c r="U1021" s="693">
        <f t="shared" si="15"/>
        <v>40817</v>
      </c>
      <c r="V1021" s="694">
        <v>40832</v>
      </c>
      <c r="W1021" s="695">
        <v>1895.33</v>
      </c>
    </row>
    <row r="1022" spans="21:23">
      <c r="U1022" s="693">
        <f t="shared" si="15"/>
        <v>40817</v>
      </c>
      <c r="V1022" s="694">
        <v>40833</v>
      </c>
      <c r="W1022" s="695">
        <v>1895.33</v>
      </c>
    </row>
    <row r="1023" spans="21:23">
      <c r="U1023" s="693">
        <f t="shared" si="15"/>
        <v>40817</v>
      </c>
      <c r="V1023" s="694">
        <v>40834</v>
      </c>
      <c r="W1023" s="695">
        <v>1895.33</v>
      </c>
    </row>
    <row r="1024" spans="21:23">
      <c r="U1024" s="693">
        <f t="shared" si="15"/>
        <v>40817</v>
      </c>
      <c r="V1024" s="694">
        <v>40835</v>
      </c>
      <c r="W1024" s="695">
        <v>1902.47</v>
      </c>
    </row>
    <row r="1025" spans="21:23">
      <c r="U1025" s="693">
        <f t="shared" si="15"/>
        <v>40817</v>
      </c>
      <c r="V1025" s="694">
        <v>40836</v>
      </c>
      <c r="W1025" s="695">
        <v>1900.1</v>
      </c>
    </row>
    <row r="1026" spans="21:23">
      <c r="U1026" s="693">
        <f t="shared" si="15"/>
        <v>40817</v>
      </c>
      <c r="V1026" s="694">
        <v>40837</v>
      </c>
      <c r="W1026" s="695">
        <v>1905.95</v>
      </c>
    </row>
    <row r="1027" spans="21:23">
      <c r="U1027" s="693">
        <f t="shared" ref="U1027:U1090" si="16">+DATE(YEAR(V1027),MONTH(V1027),1)</f>
        <v>40817</v>
      </c>
      <c r="V1027" s="694">
        <v>40838</v>
      </c>
      <c r="W1027" s="695">
        <v>1897.45</v>
      </c>
    </row>
    <row r="1028" spans="21:23">
      <c r="U1028" s="693">
        <f t="shared" si="16"/>
        <v>40817</v>
      </c>
      <c r="V1028" s="694">
        <v>40839</v>
      </c>
      <c r="W1028" s="695">
        <v>1897.45</v>
      </c>
    </row>
    <row r="1029" spans="21:23">
      <c r="U1029" s="693">
        <f t="shared" si="16"/>
        <v>40817</v>
      </c>
      <c r="V1029" s="694">
        <v>40840</v>
      </c>
      <c r="W1029" s="695">
        <v>1897.45</v>
      </c>
    </row>
    <row r="1030" spans="21:23">
      <c r="U1030" s="693">
        <f t="shared" si="16"/>
        <v>40817</v>
      </c>
      <c r="V1030" s="694">
        <v>40841</v>
      </c>
      <c r="W1030" s="695">
        <v>1878.78</v>
      </c>
    </row>
    <row r="1031" spans="21:23">
      <c r="U1031" s="693">
        <f t="shared" si="16"/>
        <v>40817</v>
      </c>
      <c r="V1031" s="694">
        <v>40842</v>
      </c>
      <c r="W1031" s="695">
        <v>1875.55</v>
      </c>
    </row>
    <row r="1032" spans="21:23">
      <c r="U1032" s="693">
        <f t="shared" si="16"/>
        <v>40817</v>
      </c>
      <c r="V1032" s="694">
        <v>40843</v>
      </c>
      <c r="W1032" s="695">
        <v>1878.1</v>
      </c>
    </row>
    <row r="1033" spans="21:23">
      <c r="U1033" s="693">
        <f t="shared" si="16"/>
        <v>40817</v>
      </c>
      <c r="V1033" s="694">
        <v>40844</v>
      </c>
      <c r="W1033" s="695">
        <v>1862.84</v>
      </c>
    </row>
    <row r="1034" spans="21:23">
      <c r="U1034" s="693">
        <f t="shared" si="16"/>
        <v>40817</v>
      </c>
      <c r="V1034" s="694">
        <v>40845</v>
      </c>
      <c r="W1034" s="695">
        <v>1863.06</v>
      </c>
    </row>
    <row r="1035" spans="21:23">
      <c r="U1035" s="693">
        <f t="shared" si="16"/>
        <v>40817</v>
      </c>
      <c r="V1035" s="694">
        <v>40846</v>
      </c>
      <c r="W1035" s="695">
        <v>1863.06</v>
      </c>
    </row>
    <row r="1036" spans="21:23">
      <c r="U1036" s="693">
        <f t="shared" si="16"/>
        <v>40817</v>
      </c>
      <c r="V1036" s="694">
        <v>40847</v>
      </c>
      <c r="W1036" s="695">
        <v>1863.06</v>
      </c>
    </row>
    <row r="1037" spans="21:23">
      <c r="U1037" s="693">
        <f t="shared" si="16"/>
        <v>40848</v>
      </c>
      <c r="V1037" s="694">
        <v>40848</v>
      </c>
      <c r="W1037" s="695">
        <v>1871.49</v>
      </c>
    </row>
    <row r="1038" spans="21:23">
      <c r="U1038" s="693">
        <f t="shared" si="16"/>
        <v>40848</v>
      </c>
      <c r="V1038" s="694">
        <v>40849</v>
      </c>
      <c r="W1038" s="695">
        <v>1891.38</v>
      </c>
    </row>
    <row r="1039" spans="21:23">
      <c r="U1039" s="693">
        <f t="shared" si="16"/>
        <v>40848</v>
      </c>
      <c r="V1039" s="694">
        <v>40850</v>
      </c>
      <c r="W1039" s="695">
        <v>1889.66</v>
      </c>
    </row>
    <row r="1040" spans="21:23">
      <c r="U1040" s="693">
        <f t="shared" si="16"/>
        <v>40848</v>
      </c>
      <c r="V1040" s="694">
        <v>40851</v>
      </c>
      <c r="W1040" s="695">
        <v>1905.38</v>
      </c>
    </row>
    <row r="1041" spans="21:23">
      <c r="U1041" s="693">
        <f t="shared" si="16"/>
        <v>40848</v>
      </c>
      <c r="V1041" s="694">
        <v>40852</v>
      </c>
      <c r="W1041" s="695">
        <v>1915.72</v>
      </c>
    </row>
    <row r="1042" spans="21:23">
      <c r="U1042" s="693">
        <f t="shared" si="16"/>
        <v>40848</v>
      </c>
      <c r="V1042" s="694">
        <v>40853</v>
      </c>
      <c r="W1042" s="695">
        <v>1915.72</v>
      </c>
    </row>
    <row r="1043" spans="21:23">
      <c r="U1043" s="693">
        <f t="shared" si="16"/>
        <v>40848</v>
      </c>
      <c r="V1043" s="694">
        <v>40854</v>
      </c>
      <c r="W1043" s="695">
        <v>1915.72</v>
      </c>
    </row>
    <row r="1044" spans="21:23">
      <c r="U1044" s="693">
        <f t="shared" si="16"/>
        <v>40848</v>
      </c>
      <c r="V1044" s="694">
        <v>40855</v>
      </c>
      <c r="W1044" s="695">
        <v>1915.72</v>
      </c>
    </row>
    <row r="1045" spans="21:23">
      <c r="U1045" s="693">
        <f t="shared" si="16"/>
        <v>40848</v>
      </c>
      <c r="V1045" s="694">
        <v>40856</v>
      </c>
      <c r="W1045" s="695">
        <v>1908.71</v>
      </c>
    </row>
    <row r="1046" spans="21:23">
      <c r="U1046" s="693">
        <f t="shared" si="16"/>
        <v>40848</v>
      </c>
      <c r="V1046" s="694">
        <v>40857</v>
      </c>
      <c r="W1046" s="695">
        <v>1917.69</v>
      </c>
    </row>
    <row r="1047" spans="21:23">
      <c r="U1047" s="693">
        <f t="shared" si="16"/>
        <v>40848</v>
      </c>
      <c r="V1047" s="694">
        <v>40858</v>
      </c>
      <c r="W1047" s="695">
        <v>1913.65</v>
      </c>
    </row>
    <row r="1048" spans="21:23">
      <c r="U1048" s="693">
        <f t="shared" si="16"/>
        <v>40848</v>
      </c>
      <c r="V1048" s="694">
        <v>40859</v>
      </c>
      <c r="W1048" s="695">
        <v>1913.65</v>
      </c>
    </row>
    <row r="1049" spans="21:23">
      <c r="U1049" s="693">
        <f t="shared" si="16"/>
        <v>40848</v>
      </c>
      <c r="V1049" s="694">
        <v>40860</v>
      </c>
      <c r="W1049" s="695">
        <v>1913.65</v>
      </c>
    </row>
    <row r="1050" spans="21:23">
      <c r="U1050" s="693">
        <f t="shared" si="16"/>
        <v>40848</v>
      </c>
      <c r="V1050" s="694">
        <v>40861</v>
      </c>
      <c r="W1050" s="695">
        <v>1913.65</v>
      </c>
    </row>
    <row r="1051" spans="21:23">
      <c r="U1051" s="693">
        <f t="shared" si="16"/>
        <v>40848</v>
      </c>
      <c r="V1051" s="694">
        <v>40862</v>
      </c>
      <c r="W1051" s="695">
        <v>1913.65</v>
      </c>
    </row>
    <row r="1052" spans="21:23">
      <c r="U1052" s="693">
        <f t="shared" si="16"/>
        <v>40848</v>
      </c>
      <c r="V1052" s="694">
        <v>40863</v>
      </c>
      <c r="W1052" s="695">
        <v>1915.41</v>
      </c>
    </row>
    <row r="1053" spans="21:23">
      <c r="U1053" s="693">
        <f t="shared" si="16"/>
        <v>40848</v>
      </c>
      <c r="V1053" s="694">
        <v>40864</v>
      </c>
      <c r="W1053" s="695">
        <v>1912.2</v>
      </c>
    </row>
    <row r="1054" spans="21:23">
      <c r="U1054" s="693">
        <f t="shared" si="16"/>
        <v>40848</v>
      </c>
      <c r="V1054" s="694">
        <v>40865</v>
      </c>
      <c r="W1054" s="695">
        <v>1910.83</v>
      </c>
    </row>
    <row r="1055" spans="21:23">
      <c r="U1055" s="693">
        <f t="shared" si="16"/>
        <v>40848</v>
      </c>
      <c r="V1055" s="694">
        <v>40866</v>
      </c>
      <c r="W1055" s="695">
        <v>1917.45</v>
      </c>
    </row>
    <row r="1056" spans="21:23">
      <c r="U1056" s="693">
        <f t="shared" si="16"/>
        <v>40848</v>
      </c>
      <c r="V1056" s="694">
        <v>40867</v>
      </c>
      <c r="W1056" s="695">
        <v>1917.45</v>
      </c>
    </row>
    <row r="1057" spans="21:23">
      <c r="U1057" s="693">
        <f t="shared" si="16"/>
        <v>40848</v>
      </c>
      <c r="V1057" s="694">
        <v>40868</v>
      </c>
      <c r="W1057" s="695">
        <v>1917.45</v>
      </c>
    </row>
    <row r="1058" spans="21:23">
      <c r="U1058" s="693">
        <f t="shared" si="16"/>
        <v>40848</v>
      </c>
      <c r="V1058" s="694">
        <v>40869</v>
      </c>
      <c r="W1058" s="695">
        <v>1928.47</v>
      </c>
    </row>
    <row r="1059" spans="21:23">
      <c r="U1059" s="693">
        <f t="shared" si="16"/>
        <v>40848</v>
      </c>
      <c r="V1059" s="694">
        <v>40870</v>
      </c>
      <c r="W1059" s="695">
        <v>1925.39</v>
      </c>
    </row>
    <row r="1060" spans="21:23">
      <c r="U1060" s="693">
        <f t="shared" si="16"/>
        <v>40848</v>
      </c>
      <c r="V1060" s="694">
        <v>40871</v>
      </c>
      <c r="W1060" s="695">
        <v>1932.63</v>
      </c>
    </row>
    <row r="1061" spans="21:23">
      <c r="U1061" s="693">
        <f t="shared" si="16"/>
        <v>40848</v>
      </c>
      <c r="V1061" s="694">
        <v>40872</v>
      </c>
      <c r="W1061" s="695">
        <v>1932.63</v>
      </c>
    </row>
    <row r="1062" spans="21:23">
      <c r="U1062" s="693">
        <f t="shared" si="16"/>
        <v>40848</v>
      </c>
      <c r="V1062" s="694">
        <v>40873</v>
      </c>
      <c r="W1062" s="695">
        <v>1948.48</v>
      </c>
    </row>
    <row r="1063" spans="21:23">
      <c r="U1063" s="693">
        <f t="shared" si="16"/>
        <v>40848</v>
      </c>
      <c r="V1063" s="694">
        <v>40874</v>
      </c>
      <c r="W1063" s="695">
        <v>1948.48</v>
      </c>
    </row>
    <row r="1064" spans="21:23">
      <c r="U1064" s="693">
        <f t="shared" si="16"/>
        <v>40848</v>
      </c>
      <c r="V1064" s="694">
        <v>40875</v>
      </c>
      <c r="W1064" s="695">
        <v>1948.48</v>
      </c>
    </row>
    <row r="1065" spans="21:23">
      <c r="U1065" s="693">
        <f t="shared" si="16"/>
        <v>40848</v>
      </c>
      <c r="V1065" s="694">
        <v>40876</v>
      </c>
      <c r="W1065" s="695">
        <v>1946.28</v>
      </c>
    </row>
    <row r="1066" spans="21:23">
      <c r="U1066" s="693">
        <f t="shared" si="16"/>
        <v>40848</v>
      </c>
      <c r="V1066" s="694">
        <v>40877</v>
      </c>
      <c r="W1066" s="695">
        <v>1967.18</v>
      </c>
    </row>
    <row r="1067" spans="21:23">
      <c r="U1067" s="693">
        <f t="shared" si="16"/>
        <v>40878</v>
      </c>
      <c r="V1067" s="694">
        <v>40878</v>
      </c>
      <c r="W1067" s="695">
        <v>1948.51</v>
      </c>
    </row>
    <row r="1068" spans="21:23">
      <c r="U1068" s="693">
        <f t="shared" si="16"/>
        <v>40878</v>
      </c>
      <c r="V1068" s="694">
        <v>40879</v>
      </c>
      <c r="W1068" s="695">
        <v>1949.56</v>
      </c>
    </row>
    <row r="1069" spans="21:23">
      <c r="U1069" s="693">
        <f t="shared" si="16"/>
        <v>40878</v>
      </c>
      <c r="V1069" s="694">
        <v>40880</v>
      </c>
      <c r="W1069" s="695">
        <v>1938.83</v>
      </c>
    </row>
    <row r="1070" spans="21:23">
      <c r="U1070" s="693">
        <f t="shared" si="16"/>
        <v>40878</v>
      </c>
      <c r="V1070" s="694">
        <v>40881</v>
      </c>
      <c r="W1070" s="695">
        <v>1938.83</v>
      </c>
    </row>
    <row r="1071" spans="21:23">
      <c r="U1071" s="693">
        <f t="shared" si="16"/>
        <v>40878</v>
      </c>
      <c r="V1071" s="694">
        <v>40882</v>
      </c>
      <c r="W1071" s="695">
        <v>1938.83</v>
      </c>
    </row>
    <row r="1072" spans="21:23">
      <c r="U1072" s="693">
        <f t="shared" si="16"/>
        <v>40878</v>
      </c>
      <c r="V1072" s="694">
        <v>40883</v>
      </c>
      <c r="W1072" s="695">
        <v>1936.29</v>
      </c>
    </row>
    <row r="1073" spans="21:23">
      <c r="U1073" s="693">
        <f t="shared" si="16"/>
        <v>40878</v>
      </c>
      <c r="V1073" s="694">
        <v>40884</v>
      </c>
      <c r="W1073" s="695">
        <v>1936.11</v>
      </c>
    </row>
    <row r="1074" spans="21:23">
      <c r="U1074" s="693">
        <f t="shared" si="16"/>
        <v>40878</v>
      </c>
      <c r="V1074" s="694">
        <v>40885</v>
      </c>
      <c r="W1074" s="695">
        <v>1930.57</v>
      </c>
    </row>
    <row r="1075" spans="21:23">
      <c r="U1075" s="693">
        <f t="shared" si="16"/>
        <v>40878</v>
      </c>
      <c r="V1075" s="694">
        <v>40886</v>
      </c>
      <c r="W1075" s="695">
        <v>1930.57</v>
      </c>
    </row>
    <row r="1076" spans="21:23">
      <c r="U1076" s="693">
        <f t="shared" si="16"/>
        <v>40878</v>
      </c>
      <c r="V1076" s="694">
        <v>40887</v>
      </c>
      <c r="W1076" s="695">
        <v>1927.1</v>
      </c>
    </row>
    <row r="1077" spans="21:23">
      <c r="U1077" s="693">
        <f t="shared" si="16"/>
        <v>40878</v>
      </c>
      <c r="V1077" s="694">
        <v>40888</v>
      </c>
      <c r="W1077" s="695">
        <v>1927.1</v>
      </c>
    </row>
    <row r="1078" spans="21:23">
      <c r="U1078" s="693">
        <f t="shared" si="16"/>
        <v>40878</v>
      </c>
      <c r="V1078" s="694">
        <v>40889</v>
      </c>
      <c r="W1078" s="695">
        <v>1927.1</v>
      </c>
    </row>
    <row r="1079" spans="21:23">
      <c r="U1079" s="693">
        <f t="shared" si="16"/>
        <v>40878</v>
      </c>
      <c r="V1079" s="694">
        <v>40890</v>
      </c>
      <c r="W1079" s="695">
        <v>1932.3</v>
      </c>
    </row>
    <row r="1080" spans="21:23">
      <c r="U1080" s="693">
        <f t="shared" si="16"/>
        <v>40878</v>
      </c>
      <c r="V1080" s="694">
        <v>40891</v>
      </c>
      <c r="W1080" s="695">
        <v>1929.01</v>
      </c>
    </row>
    <row r="1081" spans="21:23">
      <c r="U1081" s="693">
        <f t="shared" si="16"/>
        <v>40878</v>
      </c>
      <c r="V1081" s="694">
        <v>40892</v>
      </c>
      <c r="W1081" s="695">
        <v>1937.6</v>
      </c>
    </row>
    <row r="1082" spans="21:23">
      <c r="U1082" s="693">
        <f t="shared" si="16"/>
        <v>40878</v>
      </c>
      <c r="V1082" s="694">
        <v>40893</v>
      </c>
      <c r="W1082" s="695">
        <v>1935.96</v>
      </c>
    </row>
    <row r="1083" spans="21:23">
      <c r="U1083" s="693">
        <f t="shared" si="16"/>
        <v>40878</v>
      </c>
      <c r="V1083" s="694">
        <v>40894</v>
      </c>
      <c r="W1083" s="695">
        <v>1935.64</v>
      </c>
    </row>
    <row r="1084" spans="21:23">
      <c r="U1084" s="693">
        <f t="shared" si="16"/>
        <v>40878</v>
      </c>
      <c r="V1084" s="694">
        <v>40895</v>
      </c>
      <c r="W1084" s="695">
        <v>1935.64</v>
      </c>
    </row>
    <row r="1085" spans="21:23">
      <c r="U1085" s="693">
        <f t="shared" si="16"/>
        <v>40878</v>
      </c>
      <c r="V1085" s="694">
        <v>40896</v>
      </c>
      <c r="W1085" s="695">
        <v>1935.64</v>
      </c>
    </row>
    <row r="1086" spans="21:23">
      <c r="U1086" s="693">
        <f t="shared" si="16"/>
        <v>40878</v>
      </c>
      <c r="V1086" s="694">
        <v>40897</v>
      </c>
      <c r="W1086" s="695">
        <v>1939.39</v>
      </c>
    </row>
    <row r="1087" spans="21:23">
      <c r="U1087" s="693">
        <f t="shared" si="16"/>
        <v>40878</v>
      </c>
      <c r="V1087" s="694">
        <v>40898</v>
      </c>
      <c r="W1087" s="695">
        <v>1932.08</v>
      </c>
    </row>
    <row r="1088" spans="21:23">
      <c r="U1088" s="693">
        <f t="shared" si="16"/>
        <v>40878</v>
      </c>
      <c r="V1088" s="694">
        <v>40899</v>
      </c>
      <c r="W1088" s="695">
        <v>1935.72</v>
      </c>
    </row>
    <row r="1089" spans="21:23">
      <c r="U1089" s="693">
        <f t="shared" si="16"/>
        <v>40878</v>
      </c>
      <c r="V1089" s="694">
        <v>40900</v>
      </c>
      <c r="W1089" s="695">
        <v>1927.71</v>
      </c>
    </row>
    <row r="1090" spans="21:23">
      <c r="U1090" s="693">
        <f t="shared" si="16"/>
        <v>40878</v>
      </c>
      <c r="V1090" s="694">
        <v>40901</v>
      </c>
      <c r="W1090" s="695">
        <v>1920.93</v>
      </c>
    </row>
    <row r="1091" spans="21:23">
      <c r="U1091" s="693">
        <f t="shared" ref="U1091:U1154" si="17">+DATE(YEAR(V1091),MONTH(V1091),1)</f>
        <v>40878</v>
      </c>
      <c r="V1091" s="694">
        <v>40902</v>
      </c>
      <c r="W1091" s="695">
        <v>1920.93</v>
      </c>
    </row>
    <row r="1092" spans="21:23">
      <c r="U1092" s="693">
        <f t="shared" si="17"/>
        <v>40878</v>
      </c>
      <c r="V1092" s="694">
        <v>40903</v>
      </c>
      <c r="W1092" s="695">
        <v>1920.93</v>
      </c>
    </row>
    <row r="1093" spans="21:23">
      <c r="U1093" s="693">
        <f t="shared" si="17"/>
        <v>40878</v>
      </c>
      <c r="V1093" s="694">
        <v>40904</v>
      </c>
      <c r="W1093" s="695">
        <v>1920.93</v>
      </c>
    </row>
    <row r="1094" spans="21:23">
      <c r="U1094" s="693">
        <f t="shared" si="17"/>
        <v>40878</v>
      </c>
      <c r="V1094" s="694">
        <v>40905</v>
      </c>
      <c r="W1094" s="695">
        <v>1920.16</v>
      </c>
    </row>
    <row r="1095" spans="21:23">
      <c r="U1095" s="693">
        <f t="shared" si="17"/>
        <v>40878</v>
      </c>
      <c r="V1095" s="694">
        <v>40906</v>
      </c>
      <c r="W1095" s="695">
        <v>1938.52</v>
      </c>
    </row>
    <row r="1096" spans="21:23">
      <c r="U1096" s="693">
        <f t="shared" si="17"/>
        <v>40878</v>
      </c>
      <c r="V1096" s="694">
        <v>40907</v>
      </c>
      <c r="W1096" s="695">
        <v>1942.7</v>
      </c>
    </row>
    <row r="1097" spans="21:23">
      <c r="U1097" s="693">
        <f t="shared" si="17"/>
        <v>40878</v>
      </c>
      <c r="V1097" s="694">
        <v>40908</v>
      </c>
      <c r="W1097" s="695">
        <v>1942.7</v>
      </c>
    </row>
    <row r="1098" spans="21:23">
      <c r="U1098" s="693">
        <f t="shared" si="17"/>
        <v>40909</v>
      </c>
      <c r="V1098" s="694">
        <v>40909</v>
      </c>
      <c r="W1098" s="695">
        <v>1942.7</v>
      </c>
    </row>
    <row r="1099" spans="21:23">
      <c r="U1099" s="693">
        <f t="shared" si="17"/>
        <v>40909</v>
      </c>
      <c r="V1099" s="694">
        <v>40910</v>
      </c>
      <c r="W1099" s="695">
        <v>1942.7</v>
      </c>
    </row>
    <row r="1100" spans="21:23">
      <c r="U1100" s="693">
        <f t="shared" si="17"/>
        <v>40909</v>
      </c>
      <c r="V1100" s="694">
        <v>40911</v>
      </c>
      <c r="W1100" s="695">
        <v>1942.7</v>
      </c>
    </row>
    <row r="1101" spans="21:23">
      <c r="U1101" s="693">
        <f t="shared" si="17"/>
        <v>40909</v>
      </c>
      <c r="V1101" s="694">
        <v>40912</v>
      </c>
      <c r="W1101" s="695">
        <v>1915.02</v>
      </c>
    </row>
    <row r="1102" spans="21:23">
      <c r="U1102" s="693">
        <f t="shared" si="17"/>
        <v>40909</v>
      </c>
      <c r="V1102" s="694">
        <v>40913</v>
      </c>
      <c r="W1102" s="695">
        <v>1898.24</v>
      </c>
    </row>
    <row r="1103" spans="21:23">
      <c r="U1103" s="693">
        <f t="shared" si="17"/>
        <v>40909</v>
      </c>
      <c r="V1103" s="694">
        <v>40914</v>
      </c>
      <c r="W1103" s="695">
        <v>1884.44</v>
      </c>
    </row>
    <row r="1104" spans="21:23">
      <c r="U1104" s="693">
        <f t="shared" si="17"/>
        <v>40909</v>
      </c>
      <c r="V1104" s="694">
        <v>40915</v>
      </c>
      <c r="W1104" s="695">
        <v>1884.47</v>
      </c>
    </row>
    <row r="1105" spans="21:23">
      <c r="U1105" s="693">
        <f t="shared" si="17"/>
        <v>40909</v>
      </c>
      <c r="V1105" s="694">
        <v>40916</v>
      </c>
      <c r="W1105" s="695">
        <v>1884.47</v>
      </c>
    </row>
    <row r="1106" spans="21:23">
      <c r="U1106" s="693">
        <f t="shared" si="17"/>
        <v>40909</v>
      </c>
      <c r="V1106" s="694">
        <v>40917</v>
      </c>
      <c r="W1106" s="695">
        <v>1884.47</v>
      </c>
    </row>
    <row r="1107" spans="21:23">
      <c r="U1107" s="693">
        <f t="shared" si="17"/>
        <v>40909</v>
      </c>
      <c r="V1107" s="694">
        <v>40918</v>
      </c>
      <c r="W1107" s="695">
        <v>1884.47</v>
      </c>
    </row>
    <row r="1108" spans="21:23">
      <c r="U1108" s="693">
        <f t="shared" si="17"/>
        <v>40909</v>
      </c>
      <c r="V1108" s="694">
        <v>40919</v>
      </c>
      <c r="W1108" s="695">
        <v>1865.07</v>
      </c>
    </row>
    <row r="1109" spans="21:23">
      <c r="U1109" s="693">
        <f t="shared" si="17"/>
        <v>40909</v>
      </c>
      <c r="V1109" s="694">
        <v>40920</v>
      </c>
      <c r="W1109" s="695">
        <v>1854.17</v>
      </c>
    </row>
    <row r="1110" spans="21:23">
      <c r="U1110" s="693">
        <f t="shared" si="17"/>
        <v>40909</v>
      </c>
      <c r="V1110" s="694">
        <v>40921</v>
      </c>
      <c r="W1110" s="695">
        <v>1842.47</v>
      </c>
    </row>
    <row r="1111" spans="21:23">
      <c r="U1111" s="693">
        <f t="shared" si="17"/>
        <v>40909</v>
      </c>
      <c r="V1111" s="694">
        <v>40922</v>
      </c>
      <c r="W1111" s="695">
        <v>1841.31</v>
      </c>
    </row>
    <row r="1112" spans="21:23">
      <c r="U1112" s="693">
        <f t="shared" si="17"/>
        <v>40909</v>
      </c>
      <c r="V1112" s="694">
        <v>40923</v>
      </c>
      <c r="W1112" s="695">
        <v>1841.31</v>
      </c>
    </row>
    <row r="1113" spans="21:23">
      <c r="U1113" s="693">
        <f t="shared" si="17"/>
        <v>40909</v>
      </c>
      <c r="V1113" s="694">
        <v>40924</v>
      </c>
      <c r="W1113" s="695">
        <v>1841.31</v>
      </c>
    </row>
    <row r="1114" spans="21:23">
      <c r="U1114" s="693">
        <f t="shared" si="17"/>
        <v>40909</v>
      </c>
      <c r="V1114" s="694">
        <v>40925</v>
      </c>
      <c r="W1114" s="695">
        <v>1841.31</v>
      </c>
    </row>
    <row r="1115" spans="21:23">
      <c r="U1115" s="693">
        <f t="shared" si="17"/>
        <v>40909</v>
      </c>
      <c r="V1115" s="694">
        <v>40926</v>
      </c>
      <c r="W1115" s="695">
        <v>1836.34</v>
      </c>
    </row>
    <row r="1116" spans="21:23">
      <c r="U1116" s="693">
        <f t="shared" si="17"/>
        <v>40909</v>
      </c>
      <c r="V1116" s="694">
        <v>40927</v>
      </c>
      <c r="W1116" s="695">
        <v>1827.24</v>
      </c>
    </row>
    <row r="1117" spans="21:23">
      <c r="U1117" s="693">
        <f t="shared" si="17"/>
        <v>40909</v>
      </c>
      <c r="V1117" s="694">
        <v>40928</v>
      </c>
      <c r="W1117" s="695">
        <v>1821.86</v>
      </c>
    </row>
    <row r="1118" spans="21:23">
      <c r="U1118" s="693">
        <f t="shared" si="17"/>
        <v>40909</v>
      </c>
      <c r="V1118" s="694">
        <v>40929</v>
      </c>
      <c r="W1118" s="695">
        <v>1828.75</v>
      </c>
    </row>
    <row r="1119" spans="21:23">
      <c r="U1119" s="693">
        <f t="shared" si="17"/>
        <v>40909</v>
      </c>
      <c r="V1119" s="694">
        <v>40930</v>
      </c>
      <c r="W1119" s="695">
        <v>1828.75</v>
      </c>
    </row>
    <row r="1120" spans="21:23">
      <c r="U1120" s="693">
        <f t="shared" si="17"/>
        <v>40909</v>
      </c>
      <c r="V1120" s="694">
        <v>40931</v>
      </c>
      <c r="W1120" s="695">
        <v>1828.75</v>
      </c>
    </row>
    <row r="1121" spans="21:23">
      <c r="U1121" s="693">
        <f t="shared" si="17"/>
        <v>40909</v>
      </c>
      <c r="V1121" s="694">
        <v>40932</v>
      </c>
      <c r="W1121" s="695">
        <v>1811.55</v>
      </c>
    </row>
    <row r="1122" spans="21:23">
      <c r="U1122" s="693">
        <f t="shared" si="17"/>
        <v>40909</v>
      </c>
      <c r="V1122" s="694">
        <v>40933</v>
      </c>
      <c r="W1122" s="695">
        <v>1814.58</v>
      </c>
    </row>
    <row r="1123" spans="21:23">
      <c r="U1123" s="693">
        <f t="shared" si="17"/>
        <v>40909</v>
      </c>
      <c r="V1123" s="694">
        <v>40934</v>
      </c>
      <c r="W1123" s="695">
        <v>1814.69</v>
      </c>
    </row>
    <row r="1124" spans="21:23">
      <c r="U1124" s="693">
        <f t="shared" si="17"/>
        <v>40909</v>
      </c>
      <c r="V1124" s="694">
        <v>40935</v>
      </c>
      <c r="W1124" s="695">
        <v>1801.88</v>
      </c>
    </row>
    <row r="1125" spans="21:23">
      <c r="U1125" s="693">
        <f t="shared" si="17"/>
        <v>40909</v>
      </c>
      <c r="V1125" s="694">
        <v>40936</v>
      </c>
      <c r="W1125" s="695">
        <v>1810.55</v>
      </c>
    </row>
    <row r="1126" spans="21:23">
      <c r="U1126" s="693">
        <f t="shared" si="17"/>
        <v>40909</v>
      </c>
      <c r="V1126" s="694">
        <v>40937</v>
      </c>
      <c r="W1126" s="695">
        <v>1810.55</v>
      </c>
    </row>
    <row r="1127" spans="21:23">
      <c r="U1127" s="693">
        <f t="shared" si="17"/>
        <v>40909</v>
      </c>
      <c r="V1127" s="694">
        <v>40938</v>
      </c>
      <c r="W1127" s="695">
        <v>1810.55</v>
      </c>
    </row>
    <row r="1128" spans="21:23">
      <c r="U1128" s="693">
        <f t="shared" si="17"/>
        <v>40909</v>
      </c>
      <c r="V1128" s="694">
        <v>40939</v>
      </c>
      <c r="W1128" s="695">
        <v>1815.08</v>
      </c>
    </row>
    <row r="1129" spans="21:23">
      <c r="U1129" s="693">
        <f t="shared" si="17"/>
        <v>40940</v>
      </c>
      <c r="V1129" s="694">
        <v>40940</v>
      </c>
      <c r="W1129" s="695">
        <v>1805.98</v>
      </c>
    </row>
    <row r="1130" spans="21:23">
      <c r="U1130" s="693">
        <f t="shared" si="17"/>
        <v>40940</v>
      </c>
      <c r="V1130" s="694">
        <v>40941</v>
      </c>
      <c r="W1130" s="695">
        <v>1797.68</v>
      </c>
    </row>
    <row r="1131" spans="21:23">
      <c r="U1131" s="693">
        <f t="shared" si="17"/>
        <v>40940</v>
      </c>
      <c r="V1131" s="694">
        <v>40942</v>
      </c>
      <c r="W1131" s="695">
        <v>1795.55</v>
      </c>
    </row>
    <row r="1132" spans="21:23">
      <c r="U1132" s="693">
        <f t="shared" si="17"/>
        <v>40940</v>
      </c>
      <c r="V1132" s="694">
        <v>40943</v>
      </c>
      <c r="W1132" s="695">
        <v>1784.77</v>
      </c>
    </row>
    <row r="1133" spans="21:23">
      <c r="U1133" s="693">
        <f t="shared" si="17"/>
        <v>40940</v>
      </c>
      <c r="V1133" s="694">
        <v>40944</v>
      </c>
      <c r="W1133" s="695">
        <v>1784.77</v>
      </c>
    </row>
    <row r="1134" spans="21:23">
      <c r="U1134" s="693">
        <f t="shared" si="17"/>
        <v>40940</v>
      </c>
      <c r="V1134" s="694">
        <v>40945</v>
      </c>
      <c r="W1134" s="695">
        <v>1784.77</v>
      </c>
    </row>
    <row r="1135" spans="21:23">
      <c r="U1135" s="693">
        <f t="shared" si="17"/>
        <v>40940</v>
      </c>
      <c r="V1135" s="694">
        <v>40946</v>
      </c>
      <c r="W1135" s="695">
        <v>1787.96</v>
      </c>
    </row>
    <row r="1136" spans="21:23">
      <c r="U1136" s="693">
        <f t="shared" si="17"/>
        <v>40940</v>
      </c>
      <c r="V1136" s="694">
        <v>40947</v>
      </c>
      <c r="W1136" s="695">
        <v>1783.34</v>
      </c>
    </row>
    <row r="1137" spans="21:23">
      <c r="U1137" s="693">
        <f t="shared" si="17"/>
        <v>40940</v>
      </c>
      <c r="V1137" s="694">
        <v>40948</v>
      </c>
      <c r="W1137" s="695">
        <v>1778.9</v>
      </c>
    </row>
    <row r="1138" spans="21:23">
      <c r="U1138" s="693">
        <f t="shared" si="17"/>
        <v>40940</v>
      </c>
      <c r="V1138" s="694">
        <v>40949</v>
      </c>
      <c r="W1138" s="695">
        <v>1774.96</v>
      </c>
    </row>
    <row r="1139" spans="21:23">
      <c r="U1139" s="693">
        <f t="shared" si="17"/>
        <v>40940</v>
      </c>
      <c r="V1139" s="694">
        <v>40950</v>
      </c>
      <c r="W1139" s="695">
        <v>1785.59</v>
      </c>
    </row>
    <row r="1140" spans="21:23">
      <c r="U1140" s="693">
        <f t="shared" si="17"/>
        <v>40940</v>
      </c>
      <c r="V1140" s="694">
        <v>40951</v>
      </c>
      <c r="W1140" s="695">
        <v>1785.59</v>
      </c>
    </row>
    <row r="1141" spans="21:23">
      <c r="U1141" s="693">
        <f t="shared" si="17"/>
        <v>40940</v>
      </c>
      <c r="V1141" s="694">
        <v>40952</v>
      </c>
      <c r="W1141" s="695">
        <v>1785.59</v>
      </c>
    </row>
    <row r="1142" spans="21:23">
      <c r="U1142" s="693">
        <f t="shared" si="17"/>
        <v>40940</v>
      </c>
      <c r="V1142" s="694">
        <v>40953</v>
      </c>
      <c r="W1142" s="695">
        <v>1778.12</v>
      </c>
    </row>
    <row r="1143" spans="21:23">
      <c r="U1143" s="693">
        <f t="shared" si="17"/>
        <v>40940</v>
      </c>
      <c r="V1143" s="694">
        <v>40954</v>
      </c>
      <c r="W1143" s="695">
        <v>1785.24</v>
      </c>
    </row>
    <row r="1144" spans="21:23">
      <c r="U1144" s="693">
        <f t="shared" si="17"/>
        <v>40940</v>
      </c>
      <c r="V1144" s="694">
        <v>40955</v>
      </c>
      <c r="W1144" s="695">
        <v>1791.29</v>
      </c>
    </row>
    <row r="1145" spans="21:23">
      <c r="U1145" s="693">
        <f t="shared" si="17"/>
        <v>40940</v>
      </c>
      <c r="V1145" s="694">
        <v>40956</v>
      </c>
      <c r="W1145" s="695">
        <v>1792.92</v>
      </c>
    </row>
    <row r="1146" spans="21:23">
      <c r="U1146" s="693">
        <f t="shared" si="17"/>
        <v>40940</v>
      </c>
      <c r="V1146" s="694">
        <v>40957</v>
      </c>
      <c r="W1146" s="695">
        <v>1779.81</v>
      </c>
    </row>
    <row r="1147" spans="21:23">
      <c r="U1147" s="693">
        <f t="shared" si="17"/>
        <v>40940</v>
      </c>
      <c r="V1147" s="694">
        <v>40958</v>
      </c>
      <c r="W1147" s="695">
        <v>1779.81</v>
      </c>
    </row>
    <row r="1148" spans="21:23">
      <c r="U1148" s="693">
        <f t="shared" si="17"/>
        <v>40940</v>
      </c>
      <c r="V1148" s="694">
        <v>40959</v>
      </c>
      <c r="W1148" s="695">
        <v>1779.81</v>
      </c>
    </row>
    <row r="1149" spans="21:23">
      <c r="U1149" s="693">
        <f t="shared" si="17"/>
        <v>40940</v>
      </c>
      <c r="V1149" s="694">
        <v>40960</v>
      </c>
      <c r="W1149" s="695">
        <v>1779.81</v>
      </c>
    </row>
    <row r="1150" spans="21:23">
      <c r="U1150" s="693">
        <f t="shared" si="17"/>
        <v>40940</v>
      </c>
      <c r="V1150" s="694">
        <v>40961</v>
      </c>
      <c r="W1150" s="695">
        <v>1777.59</v>
      </c>
    </row>
    <row r="1151" spans="21:23">
      <c r="U1151" s="693">
        <f t="shared" si="17"/>
        <v>40940</v>
      </c>
      <c r="V1151" s="694">
        <v>40962</v>
      </c>
      <c r="W1151" s="695">
        <v>1781.57</v>
      </c>
    </row>
    <row r="1152" spans="21:23">
      <c r="U1152" s="693">
        <f t="shared" si="17"/>
        <v>40940</v>
      </c>
      <c r="V1152" s="694">
        <v>40963</v>
      </c>
      <c r="W1152" s="695">
        <v>1776.11</v>
      </c>
    </row>
    <row r="1153" spans="21:23">
      <c r="U1153" s="693">
        <f t="shared" si="17"/>
        <v>40940</v>
      </c>
      <c r="V1153" s="694">
        <v>40964</v>
      </c>
      <c r="W1153" s="695">
        <v>1772.42</v>
      </c>
    </row>
    <row r="1154" spans="21:23">
      <c r="U1154" s="693">
        <f t="shared" si="17"/>
        <v>40940</v>
      </c>
      <c r="V1154" s="694">
        <v>40965</v>
      </c>
      <c r="W1154" s="695">
        <v>1772.42</v>
      </c>
    </row>
    <row r="1155" spans="21:23">
      <c r="U1155" s="693">
        <f t="shared" ref="U1155:U1218" si="18">+DATE(YEAR(V1155),MONTH(V1155),1)</f>
        <v>40940</v>
      </c>
      <c r="V1155" s="694">
        <v>40966</v>
      </c>
      <c r="W1155" s="695">
        <v>1772.42</v>
      </c>
    </row>
    <row r="1156" spans="21:23">
      <c r="U1156" s="693">
        <f t="shared" si="18"/>
        <v>40940</v>
      </c>
      <c r="V1156" s="694">
        <v>40967</v>
      </c>
      <c r="W1156" s="695">
        <v>1777.27</v>
      </c>
    </row>
    <row r="1157" spans="21:23">
      <c r="U1157" s="693">
        <f t="shared" si="18"/>
        <v>40940</v>
      </c>
      <c r="V1157" s="694">
        <v>40968</v>
      </c>
      <c r="W1157" s="695">
        <v>1767.83</v>
      </c>
    </row>
    <row r="1158" spans="21:23">
      <c r="U1158" s="693">
        <f t="shared" si="18"/>
        <v>40969</v>
      </c>
      <c r="V1158" s="694">
        <v>40969</v>
      </c>
      <c r="W1158" s="695">
        <v>1766.85</v>
      </c>
    </row>
    <row r="1159" spans="21:23">
      <c r="U1159" s="693">
        <f t="shared" si="18"/>
        <v>40969</v>
      </c>
      <c r="V1159" s="694">
        <v>40970</v>
      </c>
      <c r="W1159" s="695">
        <v>1770.7</v>
      </c>
    </row>
    <row r="1160" spans="21:23">
      <c r="U1160" s="693">
        <f t="shared" si="18"/>
        <v>40969</v>
      </c>
      <c r="V1160" s="694">
        <v>40971</v>
      </c>
      <c r="W1160" s="695">
        <v>1775.69</v>
      </c>
    </row>
    <row r="1161" spans="21:23">
      <c r="U1161" s="693">
        <f t="shared" si="18"/>
        <v>40969</v>
      </c>
      <c r="V1161" s="694">
        <v>40972</v>
      </c>
      <c r="W1161" s="695">
        <v>1775.69</v>
      </c>
    </row>
    <row r="1162" spans="21:23">
      <c r="U1162" s="693">
        <f t="shared" si="18"/>
        <v>40969</v>
      </c>
      <c r="V1162" s="694">
        <v>40973</v>
      </c>
      <c r="W1162" s="695">
        <v>1775.69</v>
      </c>
    </row>
    <row r="1163" spans="21:23">
      <c r="U1163" s="693">
        <f t="shared" si="18"/>
        <v>40969</v>
      </c>
      <c r="V1163" s="694">
        <v>40974</v>
      </c>
      <c r="W1163" s="695">
        <v>1774.03</v>
      </c>
    </row>
    <row r="1164" spans="21:23">
      <c r="U1164" s="693">
        <f t="shared" si="18"/>
        <v>40969</v>
      </c>
      <c r="V1164" s="694">
        <v>40975</v>
      </c>
      <c r="W1164" s="695">
        <v>1779.32</v>
      </c>
    </row>
    <row r="1165" spans="21:23">
      <c r="U1165" s="693">
        <f t="shared" si="18"/>
        <v>40969</v>
      </c>
      <c r="V1165" s="694">
        <v>40976</v>
      </c>
      <c r="W1165" s="695">
        <v>1773.88</v>
      </c>
    </row>
    <row r="1166" spans="21:23">
      <c r="U1166" s="693">
        <f t="shared" si="18"/>
        <v>40969</v>
      </c>
      <c r="V1166" s="694">
        <v>40977</v>
      </c>
      <c r="W1166" s="695">
        <v>1765.06</v>
      </c>
    </row>
    <row r="1167" spans="21:23">
      <c r="U1167" s="693">
        <f t="shared" si="18"/>
        <v>40969</v>
      </c>
      <c r="V1167" s="694">
        <v>40978</v>
      </c>
      <c r="W1167" s="695">
        <v>1762.08</v>
      </c>
    </row>
    <row r="1168" spans="21:23">
      <c r="U1168" s="693">
        <f t="shared" si="18"/>
        <v>40969</v>
      </c>
      <c r="V1168" s="694">
        <v>40979</v>
      </c>
      <c r="W1168" s="695">
        <v>1762.08</v>
      </c>
    </row>
    <row r="1169" spans="21:23">
      <c r="U1169" s="693">
        <f t="shared" si="18"/>
        <v>40969</v>
      </c>
      <c r="V1169" s="694">
        <v>40980</v>
      </c>
      <c r="W1169" s="695">
        <v>1762.08</v>
      </c>
    </row>
    <row r="1170" spans="21:23">
      <c r="U1170" s="693">
        <f t="shared" si="18"/>
        <v>40969</v>
      </c>
      <c r="V1170" s="694">
        <v>40981</v>
      </c>
      <c r="W1170" s="695">
        <v>1766.1</v>
      </c>
    </row>
    <row r="1171" spans="21:23">
      <c r="U1171" s="693">
        <f t="shared" si="18"/>
        <v>40969</v>
      </c>
      <c r="V1171" s="694">
        <v>40982</v>
      </c>
      <c r="W1171" s="695">
        <v>1760.77</v>
      </c>
    </row>
    <row r="1172" spans="21:23">
      <c r="U1172" s="693">
        <f t="shared" si="18"/>
        <v>40969</v>
      </c>
      <c r="V1172" s="694">
        <v>40983</v>
      </c>
      <c r="W1172" s="695">
        <v>1761.04</v>
      </c>
    </row>
    <row r="1173" spans="21:23">
      <c r="U1173" s="693">
        <f t="shared" si="18"/>
        <v>40969</v>
      </c>
      <c r="V1173" s="694">
        <v>40984</v>
      </c>
      <c r="W1173" s="695">
        <v>1761.02</v>
      </c>
    </row>
    <row r="1174" spans="21:23">
      <c r="U1174" s="693">
        <f t="shared" si="18"/>
        <v>40969</v>
      </c>
      <c r="V1174" s="694">
        <v>40985</v>
      </c>
      <c r="W1174" s="695">
        <v>1758.38</v>
      </c>
    </row>
    <row r="1175" spans="21:23">
      <c r="U1175" s="693">
        <f t="shared" si="18"/>
        <v>40969</v>
      </c>
      <c r="V1175" s="694">
        <v>40986</v>
      </c>
      <c r="W1175" s="695">
        <v>1758.38</v>
      </c>
    </row>
    <row r="1176" spans="21:23">
      <c r="U1176" s="693">
        <f t="shared" si="18"/>
        <v>40969</v>
      </c>
      <c r="V1176" s="694">
        <v>40987</v>
      </c>
      <c r="W1176" s="695">
        <v>1758.38</v>
      </c>
    </row>
    <row r="1177" spans="21:23">
      <c r="U1177" s="693">
        <f t="shared" si="18"/>
        <v>40969</v>
      </c>
      <c r="V1177" s="694">
        <v>40988</v>
      </c>
      <c r="W1177" s="695">
        <v>1758.38</v>
      </c>
    </row>
    <row r="1178" spans="21:23">
      <c r="U1178" s="693">
        <f t="shared" si="18"/>
        <v>40969</v>
      </c>
      <c r="V1178" s="694">
        <v>40989</v>
      </c>
      <c r="W1178" s="695">
        <v>1759.78</v>
      </c>
    </row>
    <row r="1179" spans="21:23">
      <c r="U1179" s="693">
        <f t="shared" si="18"/>
        <v>40969</v>
      </c>
      <c r="V1179" s="694">
        <v>40990</v>
      </c>
      <c r="W1179" s="695">
        <v>1758.03</v>
      </c>
    </row>
    <row r="1180" spans="21:23">
      <c r="U1180" s="693">
        <f t="shared" si="18"/>
        <v>40969</v>
      </c>
      <c r="V1180" s="694">
        <v>40991</v>
      </c>
      <c r="W1180" s="695">
        <v>1761.87</v>
      </c>
    </row>
    <row r="1181" spans="21:23">
      <c r="U1181" s="693">
        <f t="shared" si="18"/>
        <v>40969</v>
      </c>
      <c r="V1181" s="694">
        <v>40992</v>
      </c>
      <c r="W1181" s="695">
        <v>1760.17</v>
      </c>
    </row>
    <row r="1182" spans="21:23">
      <c r="U1182" s="693">
        <f t="shared" si="18"/>
        <v>40969</v>
      </c>
      <c r="V1182" s="694">
        <v>40993</v>
      </c>
      <c r="W1182" s="695">
        <v>1760.17</v>
      </c>
    </row>
    <row r="1183" spans="21:23">
      <c r="U1183" s="693">
        <f t="shared" si="18"/>
        <v>40969</v>
      </c>
      <c r="V1183" s="694">
        <v>40994</v>
      </c>
      <c r="W1183" s="695">
        <v>1760.17</v>
      </c>
    </row>
    <row r="1184" spans="21:23">
      <c r="U1184" s="693">
        <f t="shared" si="18"/>
        <v>40969</v>
      </c>
      <c r="V1184" s="694">
        <v>40995</v>
      </c>
      <c r="W1184" s="695">
        <v>1759.58</v>
      </c>
    </row>
    <row r="1185" spans="21:23">
      <c r="U1185" s="693">
        <f t="shared" si="18"/>
        <v>40969</v>
      </c>
      <c r="V1185" s="694">
        <v>40996</v>
      </c>
      <c r="W1185" s="695">
        <v>1762.93</v>
      </c>
    </row>
    <row r="1186" spans="21:23">
      <c r="U1186" s="693">
        <f t="shared" si="18"/>
        <v>40969</v>
      </c>
      <c r="V1186" s="694">
        <v>40997</v>
      </c>
      <c r="W1186" s="695">
        <v>1771.25</v>
      </c>
    </row>
    <row r="1187" spans="21:23">
      <c r="U1187" s="693">
        <f t="shared" si="18"/>
        <v>40969</v>
      </c>
      <c r="V1187" s="694">
        <v>40998</v>
      </c>
      <c r="W1187" s="695">
        <v>1784.66</v>
      </c>
    </row>
    <row r="1188" spans="21:23">
      <c r="U1188" s="693">
        <f t="shared" si="18"/>
        <v>40969</v>
      </c>
      <c r="V1188" s="694">
        <v>40999</v>
      </c>
      <c r="W1188" s="695">
        <v>1792.07</v>
      </c>
    </row>
    <row r="1189" spans="21:23">
      <c r="U1189" s="693">
        <f t="shared" si="18"/>
        <v>41000</v>
      </c>
      <c r="V1189" s="694">
        <v>41000</v>
      </c>
      <c r="W1189" s="695">
        <v>1792.07</v>
      </c>
    </row>
    <row r="1190" spans="21:23">
      <c r="U1190" s="693">
        <f t="shared" si="18"/>
        <v>41000</v>
      </c>
      <c r="V1190" s="694">
        <v>41001</v>
      </c>
      <c r="W1190" s="695">
        <v>1792.07</v>
      </c>
    </row>
    <row r="1191" spans="21:23">
      <c r="U1191" s="693">
        <f t="shared" si="18"/>
        <v>41000</v>
      </c>
      <c r="V1191" s="694">
        <v>41002</v>
      </c>
      <c r="W1191" s="695">
        <v>1779.13</v>
      </c>
    </row>
    <row r="1192" spans="21:23">
      <c r="U1192" s="693">
        <f t="shared" si="18"/>
        <v>41000</v>
      </c>
      <c r="V1192" s="694">
        <v>41003</v>
      </c>
      <c r="W1192" s="695">
        <v>1767.84</v>
      </c>
    </row>
    <row r="1193" spans="21:23">
      <c r="U1193" s="693">
        <f t="shared" si="18"/>
        <v>41000</v>
      </c>
      <c r="V1193" s="694">
        <v>41004</v>
      </c>
      <c r="W1193" s="695">
        <v>1772.58</v>
      </c>
    </row>
    <row r="1194" spans="21:23">
      <c r="U1194" s="693">
        <f t="shared" si="18"/>
        <v>41000</v>
      </c>
      <c r="V1194" s="694">
        <v>41005</v>
      </c>
      <c r="W1194" s="695">
        <v>1772.58</v>
      </c>
    </row>
    <row r="1195" spans="21:23">
      <c r="U1195" s="693">
        <f t="shared" si="18"/>
        <v>41000</v>
      </c>
      <c r="V1195" s="694">
        <v>41006</v>
      </c>
      <c r="W1195" s="695">
        <v>1772.58</v>
      </c>
    </row>
    <row r="1196" spans="21:23">
      <c r="U1196" s="693">
        <f t="shared" si="18"/>
        <v>41000</v>
      </c>
      <c r="V1196" s="694">
        <v>41007</v>
      </c>
      <c r="W1196" s="695">
        <v>1772.58</v>
      </c>
    </row>
    <row r="1197" spans="21:23">
      <c r="U1197" s="693">
        <f t="shared" si="18"/>
        <v>41000</v>
      </c>
      <c r="V1197" s="694">
        <v>41008</v>
      </c>
      <c r="W1197" s="695">
        <v>1772.58</v>
      </c>
    </row>
    <row r="1198" spans="21:23">
      <c r="U1198" s="693">
        <f t="shared" si="18"/>
        <v>41000</v>
      </c>
      <c r="V1198" s="694">
        <v>41009</v>
      </c>
      <c r="W1198" s="695">
        <v>1779.53</v>
      </c>
    </row>
    <row r="1199" spans="21:23">
      <c r="U1199" s="693">
        <f t="shared" si="18"/>
        <v>41000</v>
      </c>
      <c r="V1199" s="694">
        <v>41010</v>
      </c>
      <c r="W1199" s="695">
        <v>1793.3</v>
      </c>
    </row>
    <row r="1200" spans="21:23">
      <c r="U1200" s="693">
        <f t="shared" si="18"/>
        <v>41000</v>
      </c>
      <c r="V1200" s="694">
        <v>41011</v>
      </c>
      <c r="W1200" s="695">
        <v>1787.66</v>
      </c>
    </row>
    <row r="1201" spans="21:23">
      <c r="U1201" s="693">
        <f t="shared" si="18"/>
        <v>41000</v>
      </c>
      <c r="V1201" s="694">
        <v>41012</v>
      </c>
      <c r="W1201" s="695">
        <v>1778.78</v>
      </c>
    </row>
    <row r="1202" spans="21:23">
      <c r="U1202" s="693">
        <f t="shared" si="18"/>
        <v>41000</v>
      </c>
      <c r="V1202" s="694">
        <v>41013</v>
      </c>
      <c r="W1202" s="695">
        <v>1777.12</v>
      </c>
    </row>
    <row r="1203" spans="21:23">
      <c r="U1203" s="693">
        <f t="shared" si="18"/>
        <v>41000</v>
      </c>
      <c r="V1203" s="694">
        <v>41014</v>
      </c>
      <c r="W1203" s="695">
        <v>1777.12</v>
      </c>
    </row>
    <row r="1204" spans="21:23">
      <c r="U1204" s="693">
        <f t="shared" si="18"/>
        <v>41000</v>
      </c>
      <c r="V1204" s="694">
        <v>41015</v>
      </c>
      <c r="W1204" s="695">
        <v>1777.12</v>
      </c>
    </row>
    <row r="1205" spans="21:23">
      <c r="U1205" s="693">
        <f t="shared" si="18"/>
        <v>41000</v>
      </c>
      <c r="V1205" s="694">
        <v>41016</v>
      </c>
      <c r="W1205" s="695">
        <v>1775.67</v>
      </c>
    </row>
    <row r="1206" spans="21:23">
      <c r="U1206" s="693">
        <f t="shared" si="18"/>
        <v>41000</v>
      </c>
      <c r="V1206" s="694">
        <v>41017</v>
      </c>
      <c r="W1206" s="695">
        <v>1769.07</v>
      </c>
    </row>
    <row r="1207" spans="21:23">
      <c r="U1207" s="693">
        <f t="shared" si="18"/>
        <v>41000</v>
      </c>
      <c r="V1207" s="694">
        <v>41018</v>
      </c>
      <c r="W1207" s="695">
        <v>1774.21</v>
      </c>
    </row>
    <row r="1208" spans="21:23">
      <c r="U1208" s="693">
        <f t="shared" si="18"/>
        <v>41000</v>
      </c>
      <c r="V1208" s="694">
        <v>41019</v>
      </c>
      <c r="W1208" s="695">
        <v>1776.06</v>
      </c>
    </row>
    <row r="1209" spans="21:23">
      <c r="U1209" s="693">
        <f t="shared" si="18"/>
        <v>41000</v>
      </c>
      <c r="V1209" s="694">
        <v>41020</v>
      </c>
      <c r="W1209" s="695">
        <v>1771.13</v>
      </c>
    </row>
    <row r="1210" spans="21:23">
      <c r="U1210" s="693">
        <f t="shared" si="18"/>
        <v>41000</v>
      </c>
      <c r="V1210" s="694">
        <v>41021</v>
      </c>
      <c r="W1210" s="695">
        <v>1771.13</v>
      </c>
    </row>
    <row r="1211" spans="21:23">
      <c r="U1211" s="693">
        <f t="shared" si="18"/>
        <v>41000</v>
      </c>
      <c r="V1211" s="694">
        <v>41022</v>
      </c>
      <c r="W1211" s="695">
        <v>1771.13</v>
      </c>
    </row>
    <row r="1212" spans="21:23">
      <c r="U1212" s="693">
        <f t="shared" si="18"/>
        <v>41000</v>
      </c>
      <c r="V1212" s="694">
        <v>41023</v>
      </c>
      <c r="W1212" s="695">
        <v>1774.44</v>
      </c>
    </row>
    <row r="1213" spans="21:23">
      <c r="U1213" s="693">
        <f t="shared" si="18"/>
        <v>41000</v>
      </c>
      <c r="V1213" s="694">
        <v>41024</v>
      </c>
      <c r="W1213" s="695">
        <v>1767.91</v>
      </c>
    </row>
    <row r="1214" spans="21:23">
      <c r="U1214" s="693">
        <f t="shared" si="18"/>
        <v>41000</v>
      </c>
      <c r="V1214" s="694">
        <v>41025</v>
      </c>
      <c r="W1214" s="695">
        <v>1763.85</v>
      </c>
    </row>
    <row r="1215" spans="21:23">
      <c r="U1215" s="693">
        <f t="shared" si="18"/>
        <v>41000</v>
      </c>
      <c r="V1215" s="694">
        <v>41026</v>
      </c>
      <c r="W1215" s="695">
        <v>1764.63</v>
      </c>
    </row>
    <row r="1216" spans="21:23">
      <c r="U1216" s="693">
        <f t="shared" si="18"/>
        <v>41000</v>
      </c>
      <c r="V1216" s="694">
        <v>41027</v>
      </c>
      <c r="W1216" s="695">
        <v>1761.2</v>
      </c>
    </row>
    <row r="1217" spans="21:23">
      <c r="U1217" s="693">
        <f t="shared" si="18"/>
        <v>41000</v>
      </c>
      <c r="V1217" s="694">
        <v>41028</v>
      </c>
      <c r="W1217" s="695">
        <v>1761.2</v>
      </c>
    </row>
    <row r="1218" spans="21:23">
      <c r="U1218" s="693">
        <f t="shared" si="18"/>
        <v>41000</v>
      </c>
      <c r="V1218" s="694">
        <v>41029</v>
      </c>
      <c r="W1218" s="695">
        <v>1761.2</v>
      </c>
    </row>
    <row r="1219" spans="21:23">
      <c r="U1219" s="693">
        <f t="shared" ref="U1219:U1282" si="19">+DATE(YEAR(V1219),MONTH(V1219),1)</f>
        <v>41030</v>
      </c>
      <c r="V1219" s="694">
        <v>41030</v>
      </c>
      <c r="W1219" s="695">
        <v>1764</v>
      </c>
    </row>
    <row r="1220" spans="21:23">
      <c r="U1220" s="693">
        <f t="shared" si="19"/>
        <v>41030</v>
      </c>
      <c r="V1220" s="694">
        <v>41031</v>
      </c>
      <c r="W1220" s="695">
        <v>1764</v>
      </c>
    </row>
    <row r="1221" spans="21:23">
      <c r="U1221" s="693">
        <f t="shared" si="19"/>
        <v>41030</v>
      </c>
      <c r="V1221" s="694">
        <v>41032</v>
      </c>
      <c r="W1221" s="695">
        <v>1760.12</v>
      </c>
    </row>
    <row r="1222" spans="21:23">
      <c r="U1222" s="693">
        <f t="shared" si="19"/>
        <v>41030</v>
      </c>
      <c r="V1222" s="694">
        <v>41033</v>
      </c>
      <c r="W1222" s="695">
        <v>1754.89</v>
      </c>
    </row>
    <row r="1223" spans="21:23">
      <c r="U1223" s="693">
        <f t="shared" si="19"/>
        <v>41030</v>
      </c>
      <c r="V1223" s="694">
        <v>41034</v>
      </c>
      <c r="W1223" s="695">
        <v>1757.24</v>
      </c>
    </row>
    <row r="1224" spans="21:23">
      <c r="U1224" s="693">
        <f t="shared" si="19"/>
        <v>41030</v>
      </c>
      <c r="V1224" s="694">
        <v>41035</v>
      </c>
      <c r="W1224" s="695">
        <v>1757.24</v>
      </c>
    </row>
    <row r="1225" spans="21:23">
      <c r="U1225" s="693">
        <f t="shared" si="19"/>
        <v>41030</v>
      </c>
      <c r="V1225" s="694">
        <v>41036</v>
      </c>
      <c r="W1225" s="695">
        <v>1757.24</v>
      </c>
    </row>
    <row r="1226" spans="21:23">
      <c r="U1226" s="693">
        <f t="shared" si="19"/>
        <v>41030</v>
      </c>
      <c r="V1226" s="694">
        <v>41037</v>
      </c>
      <c r="W1226" s="695">
        <v>1759.12</v>
      </c>
    </row>
    <row r="1227" spans="21:23">
      <c r="U1227" s="693">
        <f t="shared" si="19"/>
        <v>41030</v>
      </c>
      <c r="V1227" s="694">
        <v>41038</v>
      </c>
      <c r="W1227" s="695">
        <v>1760.6</v>
      </c>
    </row>
    <row r="1228" spans="21:23">
      <c r="U1228" s="693">
        <f t="shared" si="19"/>
        <v>41030</v>
      </c>
      <c r="V1228" s="694">
        <v>41039</v>
      </c>
      <c r="W1228" s="695">
        <v>1775.96</v>
      </c>
    </row>
    <row r="1229" spans="21:23">
      <c r="U1229" s="693">
        <f t="shared" si="19"/>
        <v>41030</v>
      </c>
      <c r="V1229" s="694">
        <v>41040</v>
      </c>
      <c r="W1229" s="695">
        <v>1765</v>
      </c>
    </row>
    <row r="1230" spans="21:23">
      <c r="U1230" s="693">
        <f t="shared" si="19"/>
        <v>41030</v>
      </c>
      <c r="V1230" s="694">
        <v>41041</v>
      </c>
      <c r="W1230" s="695">
        <v>1764.69</v>
      </c>
    </row>
    <row r="1231" spans="21:23">
      <c r="U1231" s="693">
        <f t="shared" si="19"/>
        <v>41030</v>
      </c>
      <c r="V1231" s="694">
        <v>41042</v>
      </c>
      <c r="W1231" s="695">
        <v>1764.69</v>
      </c>
    </row>
    <row r="1232" spans="21:23">
      <c r="U1232" s="693">
        <f t="shared" si="19"/>
        <v>41030</v>
      </c>
      <c r="V1232" s="694">
        <v>41043</v>
      </c>
      <c r="W1232" s="695">
        <v>1764.69</v>
      </c>
    </row>
    <row r="1233" spans="21:23">
      <c r="U1233" s="693">
        <f t="shared" si="19"/>
        <v>41030</v>
      </c>
      <c r="V1233" s="694">
        <v>41044</v>
      </c>
      <c r="W1233" s="695">
        <v>1771.6</v>
      </c>
    </row>
    <row r="1234" spans="21:23">
      <c r="U1234" s="693">
        <f t="shared" si="19"/>
        <v>41030</v>
      </c>
      <c r="V1234" s="694">
        <v>41045</v>
      </c>
      <c r="W1234" s="695">
        <v>1778.37</v>
      </c>
    </row>
    <row r="1235" spans="21:23">
      <c r="U1235" s="693">
        <f t="shared" si="19"/>
        <v>41030</v>
      </c>
      <c r="V1235" s="694">
        <v>41046</v>
      </c>
      <c r="W1235" s="695">
        <v>1793.61</v>
      </c>
    </row>
    <row r="1236" spans="21:23">
      <c r="U1236" s="693">
        <f t="shared" si="19"/>
        <v>41030</v>
      </c>
      <c r="V1236" s="694">
        <v>41047</v>
      </c>
      <c r="W1236" s="695">
        <v>1804.92</v>
      </c>
    </row>
    <row r="1237" spans="21:23">
      <c r="U1237" s="693">
        <f t="shared" si="19"/>
        <v>41030</v>
      </c>
      <c r="V1237" s="694">
        <v>41048</v>
      </c>
      <c r="W1237" s="695">
        <v>1814.46</v>
      </c>
    </row>
    <row r="1238" spans="21:23">
      <c r="U1238" s="693">
        <f t="shared" si="19"/>
        <v>41030</v>
      </c>
      <c r="V1238" s="694">
        <v>41049</v>
      </c>
      <c r="W1238" s="695">
        <v>1814.46</v>
      </c>
    </row>
    <row r="1239" spans="21:23">
      <c r="U1239" s="693">
        <f t="shared" si="19"/>
        <v>41030</v>
      </c>
      <c r="V1239" s="694">
        <v>41050</v>
      </c>
      <c r="W1239" s="695">
        <v>1814.46</v>
      </c>
    </row>
    <row r="1240" spans="21:23">
      <c r="U1240" s="693">
        <f t="shared" si="19"/>
        <v>41030</v>
      </c>
      <c r="V1240" s="694">
        <v>41051</v>
      </c>
      <c r="W1240" s="695">
        <v>1814.46</v>
      </c>
    </row>
    <row r="1241" spans="21:23">
      <c r="U1241" s="693">
        <f t="shared" si="19"/>
        <v>41030</v>
      </c>
      <c r="V1241" s="694">
        <v>41052</v>
      </c>
      <c r="W1241" s="695">
        <v>1824.73</v>
      </c>
    </row>
    <row r="1242" spans="21:23">
      <c r="U1242" s="693">
        <f t="shared" si="19"/>
        <v>41030</v>
      </c>
      <c r="V1242" s="694">
        <v>41053</v>
      </c>
      <c r="W1242" s="695">
        <v>1845.17</v>
      </c>
    </row>
    <row r="1243" spans="21:23">
      <c r="U1243" s="693">
        <f t="shared" si="19"/>
        <v>41030</v>
      </c>
      <c r="V1243" s="694">
        <v>41054</v>
      </c>
      <c r="W1243" s="695">
        <v>1836.45</v>
      </c>
    </row>
    <row r="1244" spans="21:23">
      <c r="U1244" s="693">
        <f t="shared" si="19"/>
        <v>41030</v>
      </c>
      <c r="V1244" s="694">
        <v>41055</v>
      </c>
      <c r="W1244" s="695">
        <v>1840.69</v>
      </c>
    </row>
    <row r="1245" spans="21:23">
      <c r="U1245" s="693">
        <f t="shared" si="19"/>
        <v>41030</v>
      </c>
      <c r="V1245" s="694">
        <v>41056</v>
      </c>
      <c r="W1245" s="695">
        <v>1840.69</v>
      </c>
    </row>
    <row r="1246" spans="21:23">
      <c r="U1246" s="693">
        <f t="shared" si="19"/>
        <v>41030</v>
      </c>
      <c r="V1246" s="694">
        <v>41057</v>
      </c>
      <c r="W1246" s="695">
        <v>1840.69</v>
      </c>
    </row>
    <row r="1247" spans="21:23">
      <c r="U1247" s="693">
        <f t="shared" si="19"/>
        <v>41030</v>
      </c>
      <c r="V1247" s="694">
        <v>41058</v>
      </c>
      <c r="W1247" s="695">
        <v>1840.69</v>
      </c>
    </row>
    <row r="1248" spans="21:23">
      <c r="U1248" s="693">
        <f t="shared" si="19"/>
        <v>41030</v>
      </c>
      <c r="V1248" s="694">
        <v>41059</v>
      </c>
      <c r="W1248" s="695">
        <v>1818.82</v>
      </c>
    </row>
    <row r="1249" spans="21:23">
      <c r="U1249" s="693">
        <f t="shared" si="19"/>
        <v>41030</v>
      </c>
      <c r="V1249" s="694">
        <v>41060</v>
      </c>
      <c r="W1249" s="695">
        <v>1827.83</v>
      </c>
    </row>
    <row r="1250" spans="21:23">
      <c r="U1250" s="693">
        <f t="shared" si="19"/>
        <v>41061</v>
      </c>
      <c r="V1250" s="694">
        <v>41061</v>
      </c>
      <c r="W1250" s="695">
        <v>1833.8</v>
      </c>
    </row>
    <row r="1251" spans="21:23">
      <c r="U1251" s="693">
        <f t="shared" si="19"/>
        <v>41061</v>
      </c>
      <c r="V1251" s="694">
        <v>41062</v>
      </c>
      <c r="W1251" s="695">
        <v>1834.71</v>
      </c>
    </row>
    <row r="1252" spans="21:23">
      <c r="U1252" s="693">
        <f t="shared" si="19"/>
        <v>41061</v>
      </c>
      <c r="V1252" s="694">
        <v>41063</v>
      </c>
      <c r="W1252" s="695">
        <v>1834.71</v>
      </c>
    </row>
    <row r="1253" spans="21:23">
      <c r="U1253" s="693">
        <f t="shared" si="19"/>
        <v>41061</v>
      </c>
      <c r="V1253" s="694">
        <v>41064</v>
      </c>
      <c r="W1253" s="695">
        <v>1834.71</v>
      </c>
    </row>
    <row r="1254" spans="21:23">
      <c r="U1254" s="693">
        <f t="shared" si="19"/>
        <v>41061</v>
      </c>
      <c r="V1254" s="694">
        <v>41065</v>
      </c>
      <c r="W1254" s="695">
        <v>1815.54</v>
      </c>
    </row>
    <row r="1255" spans="21:23">
      <c r="U1255" s="693">
        <f t="shared" si="19"/>
        <v>41061</v>
      </c>
      <c r="V1255" s="694">
        <v>41066</v>
      </c>
      <c r="W1255" s="695">
        <v>1798.85</v>
      </c>
    </row>
    <row r="1256" spans="21:23">
      <c r="U1256" s="693">
        <f t="shared" si="19"/>
        <v>41061</v>
      </c>
      <c r="V1256" s="694">
        <v>41067</v>
      </c>
      <c r="W1256" s="695">
        <v>1782.89</v>
      </c>
    </row>
    <row r="1257" spans="21:23">
      <c r="U1257" s="693">
        <f t="shared" si="19"/>
        <v>41061</v>
      </c>
      <c r="V1257" s="694">
        <v>41068</v>
      </c>
      <c r="W1257" s="695">
        <v>1766.91</v>
      </c>
    </row>
    <row r="1258" spans="21:23">
      <c r="U1258" s="693">
        <f t="shared" si="19"/>
        <v>41061</v>
      </c>
      <c r="V1258" s="694">
        <v>41069</v>
      </c>
      <c r="W1258" s="695">
        <v>1776.26</v>
      </c>
    </row>
    <row r="1259" spans="21:23">
      <c r="U1259" s="693">
        <f t="shared" si="19"/>
        <v>41061</v>
      </c>
      <c r="V1259" s="694">
        <v>41070</v>
      </c>
      <c r="W1259" s="695">
        <v>1776.26</v>
      </c>
    </row>
    <row r="1260" spans="21:23">
      <c r="U1260" s="693">
        <f t="shared" si="19"/>
        <v>41061</v>
      </c>
      <c r="V1260" s="694">
        <v>41071</v>
      </c>
      <c r="W1260" s="695">
        <v>1776.26</v>
      </c>
    </row>
    <row r="1261" spans="21:23">
      <c r="U1261" s="693">
        <f t="shared" si="19"/>
        <v>41061</v>
      </c>
      <c r="V1261" s="694">
        <v>41072</v>
      </c>
      <c r="W1261" s="695">
        <v>1776.26</v>
      </c>
    </row>
    <row r="1262" spans="21:23">
      <c r="U1262" s="693">
        <f t="shared" si="19"/>
        <v>41061</v>
      </c>
      <c r="V1262" s="694">
        <v>41073</v>
      </c>
      <c r="W1262" s="695">
        <v>1776.47</v>
      </c>
    </row>
    <row r="1263" spans="21:23">
      <c r="U1263" s="693">
        <f t="shared" si="19"/>
        <v>41061</v>
      </c>
      <c r="V1263" s="694">
        <v>41074</v>
      </c>
      <c r="W1263" s="695">
        <v>1783.45</v>
      </c>
    </row>
    <row r="1264" spans="21:23">
      <c r="U1264" s="693">
        <f t="shared" si="19"/>
        <v>41061</v>
      </c>
      <c r="V1264" s="694">
        <v>41075</v>
      </c>
      <c r="W1264" s="695">
        <v>1787.63</v>
      </c>
    </row>
    <row r="1265" spans="21:23">
      <c r="U1265" s="693">
        <f t="shared" si="19"/>
        <v>41061</v>
      </c>
      <c r="V1265" s="694">
        <v>41076</v>
      </c>
      <c r="W1265" s="695">
        <v>1786.21</v>
      </c>
    </row>
    <row r="1266" spans="21:23">
      <c r="U1266" s="693">
        <f t="shared" si="19"/>
        <v>41061</v>
      </c>
      <c r="V1266" s="694">
        <v>41077</v>
      </c>
      <c r="W1266" s="695">
        <v>1786.21</v>
      </c>
    </row>
    <row r="1267" spans="21:23">
      <c r="U1267" s="693">
        <f t="shared" si="19"/>
        <v>41061</v>
      </c>
      <c r="V1267" s="694">
        <v>41078</v>
      </c>
      <c r="W1267" s="695">
        <v>1786.21</v>
      </c>
    </row>
    <row r="1268" spans="21:23">
      <c r="U1268" s="693">
        <f t="shared" si="19"/>
        <v>41061</v>
      </c>
      <c r="V1268" s="694">
        <v>41079</v>
      </c>
      <c r="W1268" s="695">
        <v>1786.21</v>
      </c>
    </row>
    <row r="1269" spans="21:23">
      <c r="U1269" s="693">
        <f t="shared" si="19"/>
        <v>41061</v>
      </c>
      <c r="V1269" s="694">
        <v>41080</v>
      </c>
      <c r="W1269" s="695">
        <v>1773.18</v>
      </c>
    </row>
    <row r="1270" spans="21:23">
      <c r="U1270" s="693">
        <f t="shared" si="19"/>
        <v>41061</v>
      </c>
      <c r="V1270" s="694">
        <v>41081</v>
      </c>
      <c r="W1270" s="695">
        <v>1770.38</v>
      </c>
    </row>
    <row r="1271" spans="21:23">
      <c r="U1271" s="693">
        <f t="shared" si="19"/>
        <v>41061</v>
      </c>
      <c r="V1271" s="694">
        <v>41082</v>
      </c>
      <c r="W1271" s="695">
        <v>1775.99</v>
      </c>
    </row>
    <row r="1272" spans="21:23">
      <c r="U1272" s="693">
        <f t="shared" si="19"/>
        <v>41061</v>
      </c>
      <c r="V1272" s="694">
        <v>41083</v>
      </c>
      <c r="W1272" s="695">
        <v>1787.47</v>
      </c>
    </row>
    <row r="1273" spans="21:23">
      <c r="U1273" s="693">
        <f t="shared" si="19"/>
        <v>41061</v>
      </c>
      <c r="V1273" s="694">
        <v>41084</v>
      </c>
      <c r="W1273" s="695">
        <v>1787.47</v>
      </c>
    </row>
    <row r="1274" spans="21:23">
      <c r="U1274" s="693">
        <f t="shared" si="19"/>
        <v>41061</v>
      </c>
      <c r="V1274" s="694">
        <v>41085</v>
      </c>
      <c r="W1274" s="695">
        <v>1787.47</v>
      </c>
    </row>
    <row r="1275" spans="21:23">
      <c r="U1275" s="693">
        <f t="shared" si="19"/>
        <v>41061</v>
      </c>
      <c r="V1275" s="694">
        <v>41086</v>
      </c>
      <c r="W1275" s="695">
        <v>1803.37</v>
      </c>
    </row>
    <row r="1276" spans="21:23">
      <c r="U1276" s="693">
        <f t="shared" si="19"/>
        <v>41061</v>
      </c>
      <c r="V1276" s="694">
        <v>41087</v>
      </c>
      <c r="W1276" s="695">
        <v>1805.14</v>
      </c>
    </row>
    <row r="1277" spans="21:23">
      <c r="U1277" s="693">
        <f t="shared" si="19"/>
        <v>41061</v>
      </c>
      <c r="V1277" s="694">
        <v>41088</v>
      </c>
      <c r="W1277" s="695">
        <v>1796.18</v>
      </c>
    </row>
    <row r="1278" spans="21:23">
      <c r="U1278" s="693">
        <f t="shared" si="19"/>
        <v>41061</v>
      </c>
      <c r="V1278" s="694">
        <v>41089</v>
      </c>
      <c r="W1278" s="695">
        <v>1805.6</v>
      </c>
    </row>
    <row r="1279" spans="21:23">
      <c r="U1279" s="693">
        <f t="shared" si="19"/>
        <v>41061</v>
      </c>
      <c r="V1279" s="694">
        <v>41090</v>
      </c>
      <c r="W1279" s="695">
        <v>1784.6</v>
      </c>
    </row>
    <row r="1280" spans="21:23">
      <c r="U1280" s="693">
        <f t="shared" si="19"/>
        <v>41091</v>
      </c>
      <c r="V1280" s="694">
        <v>41091</v>
      </c>
      <c r="W1280" s="695">
        <v>1784.6</v>
      </c>
    </row>
    <row r="1281" spans="21:23">
      <c r="U1281" s="693">
        <f t="shared" si="19"/>
        <v>41091</v>
      </c>
      <c r="V1281" s="694">
        <v>41092</v>
      </c>
      <c r="W1281" s="695">
        <v>1784.6</v>
      </c>
    </row>
    <row r="1282" spans="21:23">
      <c r="U1282" s="693">
        <f t="shared" si="19"/>
        <v>41091</v>
      </c>
      <c r="V1282" s="694">
        <v>41093</v>
      </c>
      <c r="W1282" s="695">
        <v>1784.6</v>
      </c>
    </row>
    <row r="1283" spans="21:23">
      <c r="U1283" s="693">
        <f t="shared" ref="U1283:U1346" si="20">+DATE(YEAR(V1283),MONTH(V1283),1)</f>
        <v>41091</v>
      </c>
      <c r="V1283" s="694">
        <v>41094</v>
      </c>
      <c r="W1283" s="695">
        <v>1771.53</v>
      </c>
    </row>
    <row r="1284" spans="21:23">
      <c r="U1284" s="693">
        <f t="shared" si="20"/>
        <v>41091</v>
      </c>
      <c r="V1284" s="694">
        <v>41095</v>
      </c>
      <c r="W1284" s="695">
        <v>1771.53</v>
      </c>
    </row>
    <row r="1285" spans="21:23">
      <c r="U1285" s="693">
        <f t="shared" si="20"/>
        <v>41091</v>
      </c>
      <c r="V1285" s="694">
        <v>41096</v>
      </c>
      <c r="W1285" s="695">
        <v>1774.37</v>
      </c>
    </row>
    <row r="1286" spans="21:23">
      <c r="U1286" s="693">
        <f t="shared" si="20"/>
        <v>41091</v>
      </c>
      <c r="V1286" s="694">
        <v>41097</v>
      </c>
      <c r="W1286" s="695">
        <v>1785.25</v>
      </c>
    </row>
    <row r="1287" spans="21:23">
      <c r="U1287" s="693">
        <f t="shared" si="20"/>
        <v>41091</v>
      </c>
      <c r="V1287" s="694">
        <v>41098</v>
      </c>
      <c r="W1287" s="695">
        <v>1785.25</v>
      </c>
    </row>
    <row r="1288" spans="21:23">
      <c r="U1288" s="693">
        <f t="shared" si="20"/>
        <v>41091</v>
      </c>
      <c r="V1288" s="694">
        <v>41099</v>
      </c>
      <c r="W1288" s="695">
        <v>1785.25</v>
      </c>
    </row>
    <row r="1289" spans="21:23">
      <c r="U1289" s="693">
        <f t="shared" si="20"/>
        <v>41091</v>
      </c>
      <c r="V1289" s="694">
        <v>41100</v>
      </c>
      <c r="W1289" s="695">
        <v>1790.25</v>
      </c>
    </row>
    <row r="1290" spans="21:23">
      <c r="U1290" s="693">
        <f t="shared" si="20"/>
        <v>41091</v>
      </c>
      <c r="V1290" s="694">
        <v>41101</v>
      </c>
      <c r="W1290" s="695">
        <v>1785.06</v>
      </c>
    </row>
    <row r="1291" spans="21:23">
      <c r="U1291" s="693">
        <f t="shared" si="20"/>
        <v>41091</v>
      </c>
      <c r="V1291" s="694">
        <v>41102</v>
      </c>
      <c r="W1291" s="695">
        <v>1787.72</v>
      </c>
    </row>
    <row r="1292" spans="21:23">
      <c r="U1292" s="693">
        <f t="shared" si="20"/>
        <v>41091</v>
      </c>
      <c r="V1292" s="694">
        <v>41103</v>
      </c>
      <c r="W1292" s="695">
        <v>1790.12</v>
      </c>
    </row>
    <row r="1293" spans="21:23">
      <c r="U1293" s="693">
        <f t="shared" si="20"/>
        <v>41091</v>
      </c>
      <c r="V1293" s="694">
        <v>41104</v>
      </c>
      <c r="W1293" s="695">
        <v>1780.21</v>
      </c>
    </row>
    <row r="1294" spans="21:23">
      <c r="U1294" s="693">
        <f t="shared" si="20"/>
        <v>41091</v>
      </c>
      <c r="V1294" s="694">
        <v>41105</v>
      </c>
      <c r="W1294" s="695">
        <v>1780.21</v>
      </c>
    </row>
    <row r="1295" spans="21:23">
      <c r="U1295" s="693">
        <f t="shared" si="20"/>
        <v>41091</v>
      </c>
      <c r="V1295" s="694">
        <v>41106</v>
      </c>
      <c r="W1295" s="695">
        <v>1780.21</v>
      </c>
    </row>
    <row r="1296" spans="21:23">
      <c r="U1296" s="693">
        <f t="shared" si="20"/>
        <v>41091</v>
      </c>
      <c r="V1296" s="694">
        <v>41107</v>
      </c>
      <c r="W1296" s="695">
        <v>1778.42</v>
      </c>
    </row>
    <row r="1297" spans="21:23">
      <c r="U1297" s="693">
        <f t="shared" si="20"/>
        <v>41091</v>
      </c>
      <c r="V1297" s="694">
        <v>41108</v>
      </c>
      <c r="W1297" s="695">
        <v>1778.97</v>
      </c>
    </row>
    <row r="1298" spans="21:23">
      <c r="U1298" s="693">
        <f t="shared" si="20"/>
        <v>41091</v>
      </c>
      <c r="V1298" s="694">
        <v>41109</v>
      </c>
      <c r="W1298" s="695">
        <v>1778.28</v>
      </c>
    </row>
    <row r="1299" spans="21:23">
      <c r="U1299" s="693">
        <f t="shared" si="20"/>
        <v>41091</v>
      </c>
      <c r="V1299" s="694">
        <v>41110</v>
      </c>
      <c r="W1299" s="695">
        <v>1775.8</v>
      </c>
    </row>
    <row r="1300" spans="21:23">
      <c r="U1300" s="693">
        <f t="shared" si="20"/>
        <v>41091</v>
      </c>
      <c r="V1300" s="694">
        <v>41111</v>
      </c>
      <c r="W1300" s="695">
        <v>1775.8</v>
      </c>
    </row>
    <row r="1301" spans="21:23">
      <c r="U1301" s="693">
        <f t="shared" si="20"/>
        <v>41091</v>
      </c>
      <c r="V1301" s="694">
        <v>41112</v>
      </c>
      <c r="W1301" s="695">
        <v>1775.8</v>
      </c>
    </row>
    <row r="1302" spans="21:23">
      <c r="U1302" s="693">
        <f t="shared" si="20"/>
        <v>41091</v>
      </c>
      <c r="V1302" s="694">
        <v>41113</v>
      </c>
      <c r="W1302" s="695">
        <v>1775.8</v>
      </c>
    </row>
    <row r="1303" spans="21:23">
      <c r="U1303" s="693">
        <f t="shared" si="20"/>
        <v>41091</v>
      </c>
      <c r="V1303" s="694">
        <v>41114</v>
      </c>
      <c r="W1303" s="695">
        <v>1790.39</v>
      </c>
    </row>
    <row r="1304" spans="21:23">
      <c r="U1304" s="693">
        <f t="shared" si="20"/>
        <v>41091</v>
      </c>
      <c r="V1304" s="694">
        <v>41115</v>
      </c>
      <c r="W1304" s="695">
        <v>1797.33</v>
      </c>
    </row>
    <row r="1305" spans="21:23">
      <c r="U1305" s="693">
        <f t="shared" si="20"/>
        <v>41091</v>
      </c>
      <c r="V1305" s="694">
        <v>41116</v>
      </c>
      <c r="W1305" s="695">
        <v>1799.48</v>
      </c>
    </row>
    <row r="1306" spans="21:23">
      <c r="U1306" s="693">
        <f t="shared" si="20"/>
        <v>41091</v>
      </c>
      <c r="V1306" s="694">
        <v>41117</v>
      </c>
      <c r="W1306" s="695">
        <v>1789.22</v>
      </c>
    </row>
    <row r="1307" spans="21:23">
      <c r="U1307" s="693">
        <f t="shared" si="20"/>
        <v>41091</v>
      </c>
      <c r="V1307" s="694">
        <v>41118</v>
      </c>
      <c r="W1307" s="695">
        <v>1791.12</v>
      </c>
    </row>
    <row r="1308" spans="21:23">
      <c r="U1308" s="693">
        <f t="shared" si="20"/>
        <v>41091</v>
      </c>
      <c r="V1308" s="694">
        <v>41119</v>
      </c>
      <c r="W1308" s="695">
        <v>1791.12</v>
      </c>
    </row>
    <row r="1309" spans="21:23">
      <c r="U1309" s="693">
        <f t="shared" si="20"/>
        <v>41091</v>
      </c>
      <c r="V1309" s="694">
        <v>41120</v>
      </c>
      <c r="W1309" s="695">
        <v>1791.12</v>
      </c>
    </row>
    <row r="1310" spans="21:23">
      <c r="U1310" s="693">
        <f t="shared" si="20"/>
        <v>41091</v>
      </c>
      <c r="V1310" s="694">
        <v>41121</v>
      </c>
      <c r="W1310" s="695">
        <v>1789.02</v>
      </c>
    </row>
    <row r="1311" spans="21:23">
      <c r="U1311" s="693">
        <f t="shared" si="20"/>
        <v>41122</v>
      </c>
      <c r="V1311" s="694">
        <v>41122</v>
      </c>
      <c r="W1311" s="695">
        <v>1790.74</v>
      </c>
    </row>
    <row r="1312" spans="21:23">
      <c r="U1312" s="693">
        <f t="shared" si="20"/>
        <v>41122</v>
      </c>
      <c r="V1312" s="694">
        <v>41123</v>
      </c>
      <c r="W1312" s="695">
        <v>1787.51</v>
      </c>
    </row>
    <row r="1313" spans="21:23">
      <c r="U1313" s="693">
        <f t="shared" si="20"/>
        <v>41122</v>
      </c>
      <c r="V1313" s="694">
        <v>41124</v>
      </c>
      <c r="W1313" s="695">
        <v>1790.97</v>
      </c>
    </row>
    <row r="1314" spans="21:23">
      <c r="U1314" s="693">
        <f t="shared" si="20"/>
        <v>41122</v>
      </c>
      <c r="V1314" s="694">
        <v>41125</v>
      </c>
      <c r="W1314" s="695">
        <v>1786.06</v>
      </c>
    </row>
    <row r="1315" spans="21:23">
      <c r="U1315" s="693">
        <f t="shared" si="20"/>
        <v>41122</v>
      </c>
      <c r="V1315" s="694">
        <v>41126</v>
      </c>
      <c r="W1315" s="695">
        <v>1786.06</v>
      </c>
    </row>
    <row r="1316" spans="21:23">
      <c r="U1316" s="693">
        <f t="shared" si="20"/>
        <v>41122</v>
      </c>
      <c r="V1316" s="694">
        <v>41127</v>
      </c>
      <c r="W1316" s="695">
        <v>1786.06</v>
      </c>
    </row>
    <row r="1317" spans="21:23">
      <c r="U1317" s="693">
        <f t="shared" si="20"/>
        <v>41122</v>
      </c>
      <c r="V1317" s="694">
        <v>41128</v>
      </c>
      <c r="W1317" s="695">
        <v>1785.29</v>
      </c>
    </row>
    <row r="1318" spans="21:23">
      <c r="U1318" s="693">
        <f t="shared" si="20"/>
        <v>41122</v>
      </c>
      <c r="V1318" s="694">
        <v>41129</v>
      </c>
      <c r="W1318" s="695">
        <v>1785.29</v>
      </c>
    </row>
    <row r="1319" spans="21:23">
      <c r="U1319" s="693">
        <f t="shared" si="20"/>
        <v>41122</v>
      </c>
      <c r="V1319" s="694">
        <v>41130</v>
      </c>
      <c r="W1319" s="695">
        <v>1788.03</v>
      </c>
    </row>
    <row r="1320" spans="21:23">
      <c r="U1320" s="693">
        <f t="shared" si="20"/>
        <v>41122</v>
      </c>
      <c r="V1320" s="694">
        <v>41131</v>
      </c>
      <c r="W1320" s="695">
        <v>1788.08</v>
      </c>
    </row>
    <row r="1321" spans="21:23">
      <c r="U1321" s="693">
        <f t="shared" si="20"/>
        <v>41122</v>
      </c>
      <c r="V1321" s="694">
        <v>41132</v>
      </c>
      <c r="W1321" s="695">
        <v>1791.61</v>
      </c>
    </row>
    <row r="1322" spans="21:23">
      <c r="U1322" s="693">
        <f t="shared" si="20"/>
        <v>41122</v>
      </c>
      <c r="V1322" s="694">
        <v>41133</v>
      </c>
      <c r="W1322" s="695">
        <v>1791.61</v>
      </c>
    </row>
    <row r="1323" spans="21:23">
      <c r="U1323" s="693">
        <f t="shared" si="20"/>
        <v>41122</v>
      </c>
      <c r="V1323" s="694">
        <v>41134</v>
      </c>
      <c r="W1323" s="695">
        <v>1791.61</v>
      </c>
    </row>
    <row r="1324" spans="21:23">
      <c r="U1324" s="693">
        <f t="shared" si="20"/>
        <v>41122</v>
      </c>
      <c r="V1324" s="694">
        <v>41135</v>
      </c>
      <c r="W1324" s="695">
        <v>1792.86</v>
      </c>
    </row>
    <row r="1325" spans="21:23">
      <c r="U1325" s="693">
        <f t="shared" si="20"/>
        <v>41122</v>
      </c>
      <c r="V1325" s="694">
        <v>41136</v>
      </c>
      <c r="W1325" s="695">
        <v>1800.81</v>
      </c>
    </row>
    <row r="1326" spans="21:23">
      <c r="U1326" s="693">
        <f t="shared" si="20"/>
        <v>41122</v>
      </c>
      <c r="V1326" s="694">
        <v>41137</v>
      </c>
      <c r="W1326" s="695">
        <v>1817.18</v>
      </c>
    </row>
    <row r="1327" spans="21:23">
      <c r="U1327" s="693">
        <f t="shared" si="20"/>
        <v>41122</v>
      </c>
      <c r="V1327" s="694">
        <v>41138</v>
      </c>
      <c r="W1327" s="695">
        <v>1825.52</v>
      </c>
    </row>
    <row r="1328" spans="21:23">
      <c r="U1328" s="693">
        <f t="shared" si="20"/>
        <v>41122</v>
      </c>
      <c r="V1328" s="694">
        <v>41139</v>
      </c>
      <c r="W1328" s="695">
        <v>1822.59</v>
      </c>
    </row>
    <row r="1329" spans="21:23">
      <c r="U1329" s="693">
        <f t="shared" si="20"/>
        <v>41122</v>
      </c>
      <c r="V1329" s="694">
        <v>41140</v>
      </c>
      <c r="W1329" s="695">
        <v>1822.59</v>
      </c>
    </row>
    <row r="1330" spans="21:23">
      <c r="U1330" s="693">
        <f t="shared" si="20"/>
        <v>41122</v>
      </c>
      <c r="V1330" s="694">
        <v>41141</v>
      </c>
      <c r="W1330" s="695">
        <v>1822.59</v>
      </c>
    </row>
    <row r="1331" spans="21:23">
      <c r="U1331" s="693">
        <f t="shared" si="20"/>
        <v>41122</v>
      </c>
      <c r="V1331" s="694">
        <v>41142</v>
      </c>
      <c r="W1331" s="695">
        <v>1822.59</v>
      </c>
    </row>
    <row r="1332" spans="21:23">
      <c r="U1332" s="693">
        <f t="shared" si="20"/>
        <v>41122</v>
      </c>
      <c r="V1332" s="694">
        <v>41143</v>
      </c>
      <c r="W1332" s="695">
        <v>1815.8</v>
      </c>
    </row>
    <row r="1333" spans="21:23">
      <c r="U1333" s="693">
        <f t="shared" si="20"/>
        <v>41122</v>
      </c>
      <c r="V1333" s="694">
        <v>41144</v>
      </c>
      <c r="W1333" s="695">
        <v>1812.88</v>
      </c>
    </row>
    <row r="1334" spans="21:23">
      <c r="U1334" s="693">
        <f t="shared" si="20"/>
        <v>41122</v>
      </c>
      <c r="V1334" s="694">
        <v>41145</v>
      </c>
      <c r="W1334" s="695">
        <v>1808.33</v>
      </c>
    </row>
    <row r="1335" spans="21:23">
      <c r="U1335" s="693">
        <f t="shared" si="20"/>
        <v>41122</v>
      </c>
      <c r="V1335" s="694">
        <v>41146</v>
      </c>
      <c r="W1335" s="695">
        <v>1814.83</v>
      </c>
    </row>
    <row r="1336" spans="21:23">
      <c r="U1336" s="693">
        <f t="shared" si="20"/>
        <v>41122</v>
      </c>
      <c r="V1336" s="694">
        <v>41147</v>
      </c>
      <c r="W1336" s="695">
        <v>1814.83</v>
      </c>
    </row>
    <row r="1337" spans="21:23">
      <c r="U1337" s="693">
        <f t="shared" si="20"/>
        <v>41122</v>
      </c>
      <c r="V1337" s="694">
        <v>41148</v>
      </c>
      <c r="W1337" s="695">
        <v>1814.83</v>
      </c>
    </row>
    <row r="1338" spans="21:23">
      <c r="U1338" s="693">
        <f t="shared" si="20"/>
        <v>41122</v>
      </c>
      <c r="V1338" s="694">
        <v>41149</v>
      </c>
      <c r="W1338" s="695">
        <v>1821.44</v>
      </c>
    </row>
    <row r="1339" spans="21:23">
      <c r="U1339" s="693">
        <f t="shared" si="20"/>
        <v>41122</v>
      </c>
      <c r="V1339" s="694">
        <v>41150</v>
      </c>
      <c r="W1339" s="695">
        <v>1828.99</v>
      </c>
    </row>
    <row r="1340" spans="21:23">
      <c r="U1340" s="693">
        <f t="shared" si="20"/>
        <v>41122</v>
      </c>
      <c r="V1340" s="694">
        <v>41151</v>
      </c>
      <c r="W1340" s="695">
        <v>1833.14</v>
      </c>
    </row>
    <row r="1341" spans="21:23">
      <c r="U1341" s="693">
        <f t="shared" si="20"/>
        <v>41122</v>
      </c>
      <c r="V1341" s="694">
        <v>41152</v>
      </c>
      <c r="W1341" s="695">
        <v>1830.5</v>
      </c>
    </row>
    <row r="1342" spans="21:23">
      <c r="U1342" s="693">
        <f t="shared" si="20"/>
        <v>41153</v>
      </c>
      <c r="V1342" s="694">
        <v>41153</v>
      </c>
      <c r="W1342" s="695">
        <v>1825.21</v>
      </c>
    </row>
    <row r="1343" spans="21:23">
      <c r="U1343" s="693">
        <f t="shared" si="20"/>
        <v>41153</v>
      </c>
      <c r="V1343" s="694">
        <v>41154</v>
      </c>
      <c r="W1343" s="695">
        <v>1825.21</v>
      </c>
    </row>
    <row r="1344" spans="21:23">
      <c r="U1344" s="693">
        <f t="shared" si="20"/>
        <v>41153</v>
      </c>
      <c r="V1344" s="694">
        <v>41155</v>
      </c>
      <c r="W1344" s="695">
        <v>1825.21</v>
      </c>
    </row>
    <row r="1345" spans="21:23">
      <c r="U1345" s="693">
        <f t="shared" si="20"/>
        <v>41153</v>
      </c>
      <c r="V1345" s="694">
        <v>41156</v>
      </c>
      <c r="W1345" s="695">
        <v>1825.21</v>
      </c>
    </row>
    <row r="1346" spans="21:23">
      <c r="U1346" s="693">
        <f t="shared" si="20"/>
        <v>41153</v>
      </c>
      <c r="V1346" s="694">
        <v>41157</v>
      </c>
      <c r="W1346" s="695">
        <v>1824.81</v>
      </c>
    </row>
    <row r="1347" spans="21:23">
      <c r="U1347" s="693">
        <f t="shared" ref="U1347:U1410" si="21">+DATE(YEAR(V1347),MONTH(V1347),1)</f>
        <v>41153</v>
      </c>
      <c r="V1347" s="694">
        <v>41158</v>
      </c>
      <c r="W1347" s="695">
        <v>1814.06</v>
      </c>
    </row>
    <row r="1348" spans="21:23">
      <c r="U1348" s="693">
        <f t="shared" si="21"/>
        <v>41153</v>
      </c>
      <c r="V1348" s="694">
        <v>41159</v>
      </c>
      <c r="W1348" s="695">
        <v>1804.09</v>
      </c>
    </row>
    <row r="1349" spans="21:23">
      <c r="U1349" s="693">
        <f t="shared" si="21"/>
        <v>41153</v>
      </c>
      <c r="V1349" s="694">
        <v>41160</v>
      </c>
      <c r="W1349" s="695">
        <v>1797.35</v>
      </c>
    </row>
    <row r="1350" spans="21:23">
      <c r="U1350" s="693">
        <f t="shared" si="21"/>
        <v>41153</v>
      </c>
      <c r="V1350" s="694">
        <v>41161</v>
      </c>
      <c r="W1350" s="695">
        <v>1797.35</v>
      </c>
    </row>
    <row r="1351" spans="21:23">
      <c r="U1351" s="693">
        <f t="shared" si="21"/>
        <v>41153</v>
      </c>
      <c r="V1351" s="694">
        <v>41162</v>
      </c>
      <c r="W1351" s="695">
        <v>1797.35</v>
      </c>
    </row>
    <row r="1352" spans="21:23">
      <c r="U1352" s="693">
        <f t="shared" si="21"/>
        <v>41153</v>
      </c>
      <c r="V1352" s="694">
        <v>41163</v>
      </c>
      <c r="W1352" s="695">
        <v>1802.23</v>
      </c>
    </row>
    <row r="1353" spans="21:23">
      <c r="U1353" s="693">
        <f t="shared" si="21"/>
        <v>41153</v>
      </c>
      <c r="V1353" s="694">
        <v>41164</v>
      </c>
      <c r="W1353" s="695">
        <v>1795.4</v>
      </c>
    </row>
    <row r="1354" spans="21:23">
      <c r="U1354" s="693">
        <f t="shared" si="21"/>
        <v>41153</v>
      </c>
      <c r="V1354" s="694">
        <v>41165</v>
      </c>
      <c r="W1354" s="695">
        <v>1802.22</v>
      </c>
    </row>
    <row r="1355" spans="21:23">
      <c r="U1355" s="693">
        <f t="shared" si="21"/>
        <v>41153</v>
      </c>
      <c r="V1355" s="694">
        <v>41166</v>
      </c>
      <c r="W1355" s="695">
        <v>1799.57</v>
      </c>
    </row>
    <row r="1356" spans="21:23">
      <c r="U1356" s="693">
        <f t="shared" si="21"/>
        <v>41153</v>
      </c>
      <c r="V1356" s="694">
        <v>41167</v>
      </c>
      <c r="W1356" s="695">
        <v>1789.54</v>
      </c>
    </row>
    <row r="1357" spans="21:23">
      <c r="U1357" s="693">
        <f t="shared" si="21"/>
        <v>41153</v>
      </c>
      <c r="V1357" s="694">
        <v>41168</v>
      </c>
      <c r="W1357" s="695">
        <v>1789.54</v>
      </c>
    </row>
    <row r="1358" spans="21:23">
      <c r="U1358" s="693">
        <f t="shared" si="21"/>
        <v>41153</v>
      </c>
      <c r="V1358" s="694">
        <v>41169</v>
      </c>
      <c r="W1358" s="695">
        <v>1789.54</v>
      </c>
    </row>
    <row r="1359" spans="21:23">
      <c r="U1359" s="693">
        <f t="shared" si="21"/>
        <v>41153</v>
      </c>
      <c r="V1359" s="694">
        <v>41170</v>
      </c>
      <c r="W1359" s="695">
        <v>1799.77</v>
      </c>
    </row>
    <row r="1360" spans="21:23">
      <c r="U1360" s="693">
        <f t="shared" si="21"/>
        <v>41153</v>
      </c>
      <c r="V1360" s="694">
        <v>41171</v>
      </c>
      <c r="W1360" s="695">
        <v>1800.19</v>
      </c>
    </row>
    <row r="1361" spans="21:23">
      <c r="U1361" s="693">
        <f t="shared" si="21"/>
        <v>41153</v>
      </c>
      <c r="V1361" s="694">
        <v>41172</v>
      </c>
      <c r="W1361" s="695">
        <v>1795.66</v>
      </c>
    </row>
    <row r="1362" spans="21:23">
      <c r="U1362" s="693">
        <f t="shared" si="21"/>
        <v>41153</v>
      </c>
      <c r="V1362" s="694">
        <v>41173</v>
      </c>
      <c r="W1362" s="695">
        <v>1798.98</v>
      </c>
    </row>
    <row r="1363" spans="21:23">
      <c r="U1363" s="693">
        <f t="shared" si="21"/>
        <v>41153</v>
      </c>
      <c r="V1363" s="694">
        <v>41174</v>
      </c>
      <c r="W1363" s="695">
        <v>1796.75</v>
      </c>
    </row>
    <row r="1364" spans="21:23">
      <c r="U1364" s="693">
        <f t="shared" si="21"/>
        <v>41153</v>
      </c>
      <c r="V1364" s="694">
        <v>41175</v>
      </c>
      <c r="W1364" s="695">
        <v>1796.75</v>
      </c>
    </row>
    <row r="1365" spans="21:23">
      <c r="U1365" s="693">
        <f t="shared" si="21"/>
        <v>41153</v>
      </c>
      <c r="V1365" s="694">
        <v>41176</v>
      </c>
      <c r="W1365" s="695">
        <v>1796.75</v>
      </c>
    </row>
    <row r="1366" spans="21:23">
      <c r="U1366" s="693">
        <f t="shared" si="21"/>
        <v>41153</v>
      </c>
      <c r="V1366" s="694">
        <v>41177</v>
      </c>
      <c r="W1366" s="695">
        <v>1799.29</v>
      </c>
    </row>
    <row r="1367" spans="21:23">
      <c r="U1367" s="693">
        <f t="shared" si="21"/>
        <v>41153</v>
      </c>
      <c r="V1367" s="694">
        <v>41178</v>
      </c>
      <c r="W1367" s="695">
        <v>1795.69</v>
      </c>
    </row>
    <row r="1368" spans="21:23">
      <c r="U1368" s="693">
        <f t="shared" si="21"/>
        <v>41153</v>
      </c>
      <c r="V1368" s="694">
        <v>41179</v>
      </c>
      <c r="W1368" s="695">
        <v>1799.55</v>
      </c>
    </row>
    <row r="1369" spans="21:23">
      <c r="U1369" s="693">
        <f t="shared" si="21"/>
        <v>41153</v>
      </c>
      <c r="V1369" s="694">
        <v>41180</v>
      </c>
      <c r="W1369" s="695">
        <v>1798.08</v>
      </c>
    </row>
    <row r="1370" spans="21:23">
      <c r="U1370" s="693">
        <f t="shared" si="21"/>
        <v>41153</v>
      </c>
      <c r="V1370" s="694">
        <v>41181</v>
      </c>
      <c r="W1370" s="695">
        <v>1800.52</v>
      </c>
    </row>
    <row r="1371" spans="21:23">
      <c r="U1371" s="693">
        <f t="shared" si="21"/>
        <v>41153</v>
      </c>
      <c r="V1371" s="694">
        <v>41182</v>
      </c>
      <c r="W1371" s="695">
        <v>1800.52</v>
      </c>
    </row>
    <row r="1372" spans="21:23">
      <c r="U1372" s="693">
        <f t="shared" si="21"/>
        <v>41183</v>
      </c>
      <c r="V1372" s="694">
        <v>41183</v>
      </c>
      <c r="W1372" s="695">
        <v>1800.52</v>
      </c>
    </row>
    <row r="1373" spans="21:23">
      <c r="U1373" s="693">
        <f t="shared" si="21"/>
        <v>41183</v>
      </c>
      <c r="V1373" s="694">
        <v>41184</v>
      </c>
      <c r="W1373" s="695">
        <v>1797.97</v>
      </c>
    </row>
    <row r="1374" spans="21:23">
      <c r="U1374" s="693">
        <f t="shared" si="21"/>
        <v>41183</v>
      </c>
      <c r="V1374" s="694">
        <v>41185</v>
      </c>
      <c r="W1374" s="695">
        <v>1798.86</v>
      </c>
    </row>
    <row r="1375" spans="21:23">
      <c r="U1375" s="693">
        <f t="shared" si="21"/>
        <v>41183</v>
      </c>
      <c r="V1375" s="694">
        <v>41186</v>
      </c>
      <c r="W1375" s="695">
        <v>1800.43</v>
      </c>
    </row>
    <row r="1376" spans="21:23">
      <c r="U1376" s="693">
        <f t="shared" si="21"/>
        <v>41183</v>
      </c>
      <c r="V1376" s="694">
        <v>41187</v>
      </c>
      <c r="W1376" s="695">
        <v>1797.68</v>
      </c>
    </row>
    <row r="1377" spans="21:23">
      <c r="U1377" s="693">
        <f t="shared" si="21"/>
        <v>41183</v>
      </c>
      <c r="V1377" s="694">
        <v>41188</v>
      </c>
      <c r="W1377" s="695">
        <v>1795.4</v>
      </c>
    </row>
    <row r="1378" spans="21:23">
      <c r="U1378" s="693">
        <f t="shared" si="21"/>
        <v>41183</v>
      </c>
      <c r="V1378" s="694">
        <v>41189</v>
      </c>
      <c r="W1378" s="695">
        <v>1795.4</v>
      </c>
    </row>
    <row r="1379" spans="21:23">
      <c r="U1379" s="693">
        <f t="shared" si="21"/>
        <v>41183</v>
      </c>
      <c r="V1379" s="694">
        <v>41190</v>
      </c>
      <c r="W1379" s="695">
        <v>1795.4</v>
      </c>
    </row>
    <row r="1380" spans="21:23">
      <c r="U1380" s="693">
        <f t="shared" si="21"/>
        <v>41183</v>
      </c>
      <c r="V1380" s="694">
        <v>41191</v>
      </c>
      <c r="W1380" s="695">
        <v>1795.4</v>
      </c>
    </row>
    <row r="1381" spans="21:23">
      <c r="U1381" s="693">
        <f t="shared" si="21"/>
        <v>41183</v>
      </c>
      <c r="V1381" s="694">
        <v>41192</v>
      </c>
      <c r="W1381" s="695">
        <v>1798.32</v>
      </c>
    </row>
    <row r="1382" spans="21:23">
      <c r="U1382" s="693">
        <f t="shared" si="21"/>
        <v>41183</v>
      </c>
      <c r="V1382" s="694">
        <v>41193</v>
      </c>
      <c r="W1382" s="695">
        <v>1799.78</v>
      </c>
    </row>
    <row r="1383" spans="21:23">
      <c r="U1383" s="693">
        <f t="shared" si="21"/>
        <v>41183</v>
      </c>
      <c r="V1383" s="694">
        <v>41194</v>
      </c>
      <c r="W1383" s="695">
        <v>1797.68</v>
      </c>
    </row>
    <row r="1384" spans="21:23">
      <c r="U1384" s="693">
        <f t="shared" si="21"/>
        <v>41183</v>
      </c>
      <c r="V1384" s="694">
        <v>41195</v>
      </c>
      <c r="W1384" s="695">
        <v>1797.68</v>
      </c>
    </row>
    <row r="1385" spans="21:23">
      <c r="U1385" s="693">
        <f t="shared" si="21"/>
        <v>41183</v>
      </c>
      <c r="V1385" s="694">
        <v>41196</v>
      </c>
      <c r="W1385" s="695">
        <v>1797.68</v>
      </c>
    </row>
    <row r="1386" spans="21:23">
      <c r="U1386" s="693">
        <f t="shared" si="21"/>
        <v>41183</v>
      </c>
      <c r="V1386" s="694">
        <v>41197</v>
      </c>
      <c r="W1386" s="695">
        <v>1797.68</v>
      </c>
    </row>
    <row r="1387" spans="21:23">
      <c r="U1387" s="693">
        <f t="shared" si="21"/>
        <v>41183</v>
      </c>
      <c r="V1387" s="694">
        <v>41198</v>
      </c>
      <c r="W1387" s="695">
        <v>1797.68</v>
      </c>
    </row>
    <row r="1388" spans="21:23">
      <c r="U1388" s="693">
        <f t="shared" si="21"/>
        <v>41183</v>
      </c>
      <c r="V1388" s="694">
        <v>41199</v>
      </c>
      <c r="W1388" s="695">
        <v>1797.81</v>
      </c>
    </row>
    <row r="1389" spans="21:23">
      <c r="U1389" s="693">
        <f t="shared" si="21"/>
        <v>41183</v>
      </c>
      <c r="V1389" s="694">
        <v>41200</v>
      </c>
      <c r="W1389" s="695">
        <v>1798.53</v>
      </c>
    </row>
    <row r="1390" spans="21:23">
      <c r="U1390" s="693">
        <f t="shared" si="21"/>
        <v>41183</v>
      </c>
      <c r="V1390" s="694">
        <v>41201</v>
      </c>
      <c r="W1390" s="695">
        <v>1797.66</v>
      </c>
    </row>
    <row r="1391" spans="21:23">
      <c r="U1391" s="693">
        <f t="shared" si="21"/>
        <v>41183</v>
      </c>
      <c r="V1391" s="694">
        <v>41202</v>
      </c>
      <c r="W1391" s="695">
        <v>1798.42</v>
      </c>
    </row>
    <row r="1392" spans="21:23">
      <c r="U1392" s="693">
        <f t="shared" si="21"/>
        <v>41183</v>
      </c>
      <c r="V1392" s="694">
        <v>41203</v>
      </c>
      <c r="W1392" s="695">
        <v>1798.42</v>
      </c>
    </row>
    <row r="1393" spans="21:23">
      <c r="U1393" s="693">
        <f t="shared" si="21"/>
        <v>41183</v>
      </c>
      <c r="V1393" s="694">
        <v>41204</v>
      </c>
      <c r="W1393" s="695">
        <v>1798.42</v>
      </c>
    </row>
    <row r="1394" spans="21:23">
      <c r="U1394" s="693">
        <f t="shared" si="21"/>
        <v>41183</v>
      </c>
      <c r="V1394" s="694">
        <v>41205</v>
      </c>
      <c r="W1394" s="695">
        <v>1802.91</v>
      </c>
    </row>
    <row r="1395" spans="21:23">
      <c r="U1395" s="693">
        <f t="shared" si="21"/>
        <v>41183</v>
      </c>
      <c r="V1395" s="694">
        <v>41206</v>
      </c>
      <c r="W1395" s="695">
        <v>1816.6</v>
      </c>
    </row>
    <row r="1396" spans="21:23">
      <c r="U1396" s="693">
        <f t="shared" si="21"/>
        <v>41183</v>
      </c>
      <c r="V1396" s="694">
        <v>41207</v>
      </c>
      <c r="W1396" s="695">
        <v>1817.25</v>
      </c>
    </row>
    <row r="1397" spans="21:23">
      <c r="U1397" s="693">
        <f t="shared" si="21"/>
        <v>41183</v>
      </c>
      <c r="V1397" s="694">
        <v>41208</v>
      </c>
      <c r="W1397" s="695">
        <v>1816.97</v>
      </c>
    </row>
    <row r="1398" spans="21:23">
      <c r="U1398" s="693">
        <f t="shared" si="21"/>
        <v>41183</v>
      </c>
      <c r="V1398" s="694">
        <v>41209</v>
      </c>
      <c r="W1398" s="695">
        <v>1823.18</v>
      </c>
    </row>
    <row r="1399" spans="21:23">
      <c r="U1399" s="693">
        <f t="shared" si="21"/>
        <v>41183</v>
      </c>
      <c r="V1399" s="694">
        <v>41210</v>
      </c>
      <c r="W1399" s="695">
        <v>1823.18</v>
      </c>
    </row>
    <row r="1400" spans="21:23">
      <c r="U1400" s="693">
        <f t="shared" si="21"/>
        <v>41183</v>
      </c>
      <c r="V1400" s="694">
        <v>41211</v>
      </c>
      <c r="W1400" s="695">
        <v>1823.18</v>
      </c>
    </row>
    <row r="1401" spans="21:23">
      <c r="U1401" s="693">
        <f t="shared" si="21"/>
        <v>41183</v>
      </c>
      <c r="V1401" s="694">
        <v>41212</v>
      </c>
      <c r="W1401" s="695">
        <v>1830.45</v>
      </c>
    </row>
    <row r="1402" spans="21:23">
      <c r="U1402" s="693">
        <f t="shared" si="21"/>
        <v>41183</v>
      </c>
      <c r="V1402" s="694">
        <v>41213</v>
      </c>
      <c r="W1402" s="695">
        <v>1829.89</v>
      </c>
    </row>
    <row r="1403" spans="21:23">
      <c r="U1403" s="693">
        <f t="shared" si="21"/>
        <v>41214</v>
      </c>
      <c r="V1403" s="694">
        <v>41214</v>
      </c>
      <c r="W1403" s="695">
        <v>1831.25</v>
      </c>
    </row>
    <row r="1404" spans="21:23">
      <c r="U1404" s="693">
        <f t="shared" si="21"/>
        <v>41214</v>
      </c>
      <c r="V1404" s="694">
        <v>41215</v>
      </c>
      <c r="W1404" s="695">
        <v>1825.5</v>
      </c>
    </row>
    <row r="1405" spans="21:23">
      <c r="U1405" s="693">
        <f t="shared" si="21"/>
        <v>41214</v>
      </c>
      <c r="V1405" s="694">
        <v>41216</v>
      </c>
      <c r="W1405" s="695">
        <v>1828.8</v>
      </c>
    </row>
    <row r="1406" spans="21:23">
      <c r="U1406" s="693">
        <f t="shared" si="21"/>
        <v>41214</v>
      </c>
      <c r="V1406" s="694">
        <v>41217</v>
      </c>
      <c r="W1406" s="695">
        <v>1828.8</v>
      </c>
    </row>
    <row r="1407" spans="21:23">
      <c r="U1407" s="693">
        <f t="shared" si="21"/>
        <v>41214</v>
      </c>
      <c r="V1407" s="694">
        <v>41218</v>
      </c>
      <c r="W1407" s="695">
        <v>1828.8</v>
      </c>
    </row>
    <row r="1408" spans="21:23">
      <c r="U1408" s="693">
        <f t="shared" si="21"/>
        <v>41214</v>
      </c>
      <c r="V1408" s="694">
        <v>41219</v>
      </c>
      <c r="W1408" s="695">
        <v>1828.8</v>
      </c>
    </row>
    <row r="1409" spans="21:23">
      <c r="U1409" s="693">
        <f t="shared" si="21"/>
        <v>41214</v>
      </c>
      <c r="V1409" s="694">
        <v>41220</v>
      </c>
      <c r="W1409" s="695">
        <v>1814.99</v>
      </c>
    </row>
    <row r="1410" spans="21:23">
      <c r="U1410" s="693">
        <f t="shared" si="21"/>
        <v>41214</v>
      </c>
      <c r="V1410" s="694">
        <v>41221</v>
      </c>
      <c r="W1410" s="695">
        <v>1814.83</v>
      </c>
    </row>
    <row r="1411" spans="21:23">
      <c r="U1411" s="693">
        <f t="shared" ref="U1411:U1474" si="22">+DATE(YEAR(V1411),MONTH(V1411),1)</f>
        <v>41214</v>
      </c>
      <c r="V1411" s="694">
        <v>41222</v>
      </c>
      <c r="W1411" s="695">
        <v>1814.21</v>
      </c>
    </row>
    <row r="1412" spans="21:23">
      <c r="U1412" s="693">
        <f t="shared" si="22"/>
        <v>41214</v>
      </c>
      <c r="V1412" s="694">
        <v>41223</v>
      </c>
      <c r="W1412" s="695">
        <v>1816.99</v>
      </c>
    </row>
    <row r="1413" spans="21:23">
      <c r="U1413" s="693">
        <f t="shared" si="22"/>
        <v>41214</v>
      </c>
      <c r="V1413" s="694">
        <v>41224</v>
      </c>
      <c r="W1413" s="695">
        <v>1816.99</v>
      </c>
    </row>
    <row r="1414" spans="21:23">
      <c r="U1414" s="693">
        <f t="shared" si="22"/>
        <v>41214</v>
      </c>
      <c r="V1414" s="694">
        <v>41225</v>
      </c>
      <c r="W1414" s="695">
        <v>1816.99</v>
      </c>
    </row>
    <row r="1415" spans="21:23">
      <c r="U1415" s="693">
        <f t="shared" si="22"/>
        <v>41214</v>
      </c>
      <c r="V1415" s="694">
        <v>41226</v>
      </c>
      <c r="W1415" s="695">
        <v>1816.99</v>
      </c>
    </row>
    <row r="1416" spans="21:23">
      <c r="U1416" s="693">
        <f t="shared" si="22"/>
        <v>41214</v>
      </c>
      <c r="V1416" s="694">
        <v>41227</v>
      </c>
      <c r="W1416" s="695">
        <v>1819.3</v>
      </c>
    </row>
    <row r="1417" spans="21:23">
      <c r="U1417" s="693">
        <f t="shared" si="22"/>
        <v>41214</v>
      </c>
      <c r="V1417" s="694">
        <v>41228</v>
      </c>
      <c r="W1417" s="695">
        <v>1818.2</v>
      </c>
    </row>
    <row r="1418" spans="21:23">
      <c r="U1418" s="693">
        <f t="shared" si="22"/>
        <v>41214</v>
      </c>
      <c r="V1418" s="694">
        <v>41229</v>
      </c>
      <c r="W1418" s="695">
        <v>1822.61</v>
      </c>
    </row>
    <row r="1419" spans="21:23">
      <c r="U1419" s="693">
        <f t="shared" si="22"/>
        <v>41214</v>
      </c>
      <c r="V1419" s="694">
        <v>41230</v>
      </c>
      <c r="W1419" s="695">
        <v>1823.46</v>
      </c>
    </row>
    <row r="1420" spans="21:23">
      <c r="U1420" s="693">
        <f t="shared" si="22"/>
        <v>41214</v>
      </c>
      <c r="V1420" s="694">
        <v>41231</v>
      </c>
      <c r="W1420" s="695">
        <v>1823.46</v>
      </c>
    </row>
    <row r="1421" spans="21:23">
      <c r="U1421" s="693">
        <f t="shared" si="22"/>
        <v>41214</v>
      </c>
      <c r="V1421" s="694">
        <v>41232</v>
      </c>
      <c r="W1421" s="695">
        <v>1823.46</v>
      </c>
    </row>
    <row r="1422" spans="21:23">
      <c r="U1422" s="693">
        <f t="shared" si="22"/>
        <v>41214</v>
      </c>
      <c r="V1422" s="694">
        <v>41233</v>
      </c>
      <c r="W1422" s="695">
        <v>1817.67</v>
      </c>
    </row>
    <row r="1423" spans="21:23">
      <c r="U1423" s="693">
        <f t="shared" si="22"/>
        <v>41214</v>
      </c>
      <c r="V1423" s="694">
        <v>41234</v>
      </c>
      <c r="W1423" s="695">
        <v>1815.58</v>
      </c>
    </row>
    <row r="1424" spans="21:23">
      <c r="U1424" s="693">
        <f t="shared" si="22"/>
        <v>41214</v>
      </c>
      <c r="V1424" s="694">
        <v>41235</v>
      </c>
      <c r="W1424" s="695">
        <v>1815.76</v>
      </c>
    </row>
    <row r="1425" spans="21:23">
      <c r="U1425" s="693">
        <f t="shared" si="22"/>
        <v>41214</v>
      </c>
      <c r="V1425" s="694">
        <v>41236</v>
      </c>
      <c r="W1425" s="695">
        <v>1815.76</v>
      </c>
    </row>
    <row r="1426" spans="21:23">
      <c r="U1426" s="693">
        <f t="shared" si="22"/>
        <v>41214</v>
      </c>
      <c r="V1426" s="694">
        <v>41237</v>
      </c>
      <c r="W1426" s="695">
        <v>1820.18</v>
      </c>
    </row>
    <row r="1427" spans="21:23">
      <c r="U1427" s="693">
        <f t="shared" si="22"/>
        <v>41214</v>
      </c>
      <c r="V1427" s="694">
        <v>41238</v>
      </c>
      <c r="W1427" s="695">
        <v>1820.18</v>
      </c>
    </row>
    <row r="1428" spans="21:23">
      <c r="U1428" s="693">
        <f t="shared" si="22"/>
        <v>41214</v>
      </c>
      <c r="V1428" s="694">
        <v>41239</v>
      </c>
      <c r="W1428" s="695">
        <v>1820.18</v>
      </c>
    </row>
    <row r="1429" spans="21:23">
      <c r="U1429" s="693">
        <f t="shared" si="22"/>
        <v>41214</v>
      </c>
      <c r="V1429" s="694">
        <v>41240</v>
      </c>
      <c r="W1429" s="695">
        <v>1824.12</v>
      </c>
    </row>
    <row r="1430" spans="21:23">
      <c r="U1430" s="693">
        <f t="shared" si="22"/>
        <v>41214</v>
      </c>
      <c r="V1430" s="694">
        <v>41241</v>
      </c>
      <c r="W1430" s="695">
        <v>1823.54</v>
      </c>
    </row>
    <row r="1431" spans="21:23">
      <c r="U1431" s="693">
        <f t="shared" si="22"/>
        <v>41214</v>
      </c>
      <c r="V1431" s="694">
        <v>41242</v>
      </c>
      <c r="W1431" s="695">
        <v>1825.08</v>
      </c>
    </row>
    <row r="1432" spans="21:23">
      <c r="U1432" s="693">
        <f t="shared" si="22"/>
        <v>41214</v>
      </c>
      <c r="V1432" s="694">
        <v>41243</v>
      </c>
      <c r="W1432" s="695">
        <v>1817.93</v>
      </c>
    </row>
    <row r="1433" spans="21:23">
      <c r="U1433" s="693">
        <f t="shared" si="22"/>
        <v>41244</v>
      </c>
      <c r="V1433" s="694">
        <v>41244</v>
      </c>
      <c r="W1433" s="695">
        <v>1813.72</v>
      </c>
    </row>
    <row r="1434" spans="21:23">
      <c r="U1434" s="693">
        <f t="shared" si="22"/>
        <v>41244</v>
      </c>
      <c r="V1434" s="694">
        <v>41245</v>
      </c>
      <c r="W1434" s="695">
        <v>1813.72</v>
      </c>
    </row>
    <row r="1435" spans="21:23">
      <c r="U1435" s="693">
        <f t="shared" si="22"/>
        <v>41244</v>
      </c>
      <c r="V1435" s="694">
        <v>41246</v>
      </c>
      <c r="W1435" s="695">
        <v>1813.72</v>
      </c>
    </row>
    <row r="1436" spans="21:23">
      <c r="U1436" s="693">
        <f t="shared" si="22"/>
        <v>41244</v>
      </c>
      <c r="V1436" s="694">
        <v>41247</v>
      </c>
      <c r="W1436" s="695">
        <v>1813.73</v>
      </c>
    </row>
    <row r="1437" spans="21:23">
      <c r="U1437" s="693">
        <f t="shared" si="22"/>
        <v>41244</v>
      </c>
      <c r="V1437" s="694">
        <v>41248</v>
      </c>
      <c r="W1437" s="695">
        <v>1813.57</v>
      </c>
    </row>
    <row r="1438" spans="21:23">
      <c r="U1438" s="693">
        <f t="shared" si="22"/>
        <v>41244</v>
      </c>
      <c r="V1438" s="694">
        <v>41249</v>
      </c>
      <c r="W1438" s="695">
        <v>1811.05</v>
      </c>
    </row>
    <row r="1439" spans="21:23">
      <c r="U1439" s="693">
        <f t="shared" si="22"/>
        <v>41244</v>
      </c>
      <c r="V1439" s="694">
        <v>41250</v>
      </c>
      <c r="W1439" s="695">
        <v>1803.69</v>
      </c>
    </row>
    <row r="1440" spans="21:23">
      <c r="U1440" s="693">
        <f t="shared" si="22"/>
        <v>41244</v>
      </c>
      <c r="V1440" s="694">
        <v>41251</v>
      </c>
      <c r="W1440" s="695">
        <v>1797.45</v>
      </c>
    </row>
    <row r="1441" spans="21:23">
      <c r="U1441" s="693">
        <f t="shared" si="22"/>
        <v>41244</v>
      </c>
      <c r="V1441" s="694">
        <v>41252</v>
      </c>
      <c r="W1441" s="695">
        <v>1797.45</v>
      </c>
    </row>
    <row r="1442" spans="21:23">
      <c r="U1442" s="693">
        <f t="shared" si="22"/>
        <v>41244</v>
      </c>
      <c r="V1442" s="694">
        <v>41253</v>
      </c>
      <c r="W1442" s="695">
        <v>1797.45</v>
      </c>
    </row>
    <row r="1443" spans="21:23">
      <c r="U1443" s="693">
        <f t="shared" si="22"/>
        <v>41244</v>
      </c>
      <c r="V1443" s="694">
        <v>41254</v>
      </c>
      <c r="W1443" s="695">
        <v>1799.4</v>
      </c>
    </row>
    <row r="1444" spans="21:23">
      <c r="U1444" s="693">
        <f t="shared" si="22"/>
        <v>41244</v>
      </c>
      <c r="V1444" s="694">
        <v>41255</v>
      </c>
      <c r="W1444" s="695">
        <v>1801.5</v>
      </c>
    </row>
    <row r="1445" spans="21:23">
      <c r="U1445" s="693">
        <f t="shared" si="22"/>
        <v>41244</v>
      </c>
      <c r="V1445" s="694">
        <v>41256</v>
      </c>
      <c r="W1445" s="695">
        <v>1796.31</v>
      </c>
    </row>
    <row r="1446" spans="21:23">
      <c r="U1446" s="693">
        <f t="shared" si="22"/>
        <v>41244</v>
      </c>
      <c r="V1446" s="694">
        <v>41257</v>
      </c>
      <c r="W1446" s="695">
        <v>1795.05</v>
      </c>
    </row>
    <row r="1447" spans="21:23">
      <c r="U1447" s="693">
        <f t="shared" si="22"/>
        <v>41244</v>
      </c>
      <c r="V1447" s="694">
        <v>41258</v>
      </c>
      <c r="W1447" s="695">
        <v>1798.37</v>
      </c>
    </row>
    <row r="1448" spans="21:23">
      <c r="U1448" s="693">
        <f t="shared" si="22"/>
        <v>41244</v>
      </c>
      <c r="V1448" s="694">
        <v>41259</v>
      </c>
      <c r="W1448" s="695">
        <v>1798.37</v>
      </c>
    </row>
    <row r="1449" spans="21:23">
      <c r="U1449" s="693">
        <f t="shared" si="22"/>
        <v>41244</v>
      </c>
      <c r="V1449" s="694">
        <v>41260</v>
      </c>
      <c r="W1449" s="695">
        <v>1798.37</v>
      </c>
    </row>
    <row r="1450" spans="21:23">
      <c r="U1450" s="693">
        <f t="shared" si="22"/>
        <v>41244</v>
      </c>
      <c r="V1450" s="694">
        <v>41261</v>
      </c>
      <c r="W1450" s="695">
        <v>1796.98</v>
      </c>
    </row>
    <row r="1451" spans="21:23">
      <c r="U1451" s="693">
        <f t="shared" si="22"/>
        <v>41244</v>
      </c>
      <c r="V1451" s="694">
        <v>41262</v>
      </c>
      <c r="W1451" s="695">
        <v>1794.14</v>
      </c>
    </row>
    <row r="1452" spans="21:23">
      <c r="U1452" s="693">
        <f t="shared" si="22"/>
        <v>41244</v>
      </c>
      <c r="V1452" s="694">
        <v>41263</v>
      </c>
      <c r="W1452" s="695">
        <v>1790.46</v>
      </c>
    </row>
    <row r="1453" spans="21:23">
      <c r="U1453" s="693">
        <f t="shared" si="22"/>
        <v>41244</v>
      </c>
      <c r="V1453" s="694">
        <v>41264</v>
      </c>
      <c r="W1453" s="695">
        <v>1788.87</v>
      </c>
    </row>
    <row r="1454" spans="21:23">
      <c r="U1454" s="693">
        <f t="shared" si="22"/>
        <v>41244</v>
      </c>
      <c r="V1454" s="694">
        <v>41265</v>
      </c>
      <c r="W1454" s="695">
        <v>1779.79</v>
      </c>
    </row>
    <row r="1455" spans="21:23">
      <c r="U1455" s="693">
        <f t="shared" si="22"/>
        <v>41244</v>
      </c>
      <c r="V1455" s="694">
        <v>41266</v>
      </c>
      <c r="W1455" s="695">
        <v>1779.79</v>
      </c>
    </row>
    <row r="1456" spans="21:23">
      <c r="U1456" s="693">
        <f t="shared" si="22"/>
        <v>41244</v>
      </c>
      <c r="V1456" s="694">
        <v>41267</v>
      </c>
      <c r="W1456" s="695">
        <v>1779.79</v>
      </c>
    </row>
    <row r="1457" spans="21:23">
      <c r="U1457" s="693">
        <f t="shared" si="22"/>
        <v>41244</v>
      </c>
      <c r="V1457" s="694">
        <v>41268</v>
      </c>
      <c r="W1457" s="695">
        <v>1773.44</v>
      </c>
    </row>
    <row r="1458" spans="21:23">
      <c r="U1458" s="693">
        <f t="shared" si="22"/>
        <v>41244</v>
      </c>
      <c r="V1458" s="694">
        <v>41269</v>
      </c>
      <c r="W1458" s="695">
        <v>1773.44</v>
      </c>
    </row>
    <row r="1459" spans="21:23">
      <c r="U1459" s="693">
        <f t="shared" si="22"/>
        <v>41244</v>
      </c>
      <c r="V1459" s="694">
        <v>41270</v>
      </c>
      <c r="W1459" s="695">
        <v>1771.49</v>
      </c>
    </row>
    <row r="1460" spans="21:23">
      <c r="U1460" s="693">
        <f t="shared" si="22"/>
        <v>41244</v>
      </c>
      <c r="V1460" s="694">
        <v>41271</v>
      </c>
      <c r="W1460" s="695">
        <v>1771.54</v>
      </c>
    </row>
    <row r="1461" spans="21:23">
      <c r="U1461" s="693">
        <f t="shared" si="22"/>
        <v>41244</v>
      </c>
      <c r="V1461" s="694">
        <v>41272</v>
      </c>
      <c r="W1461" s="695">
        <v>1768.23</v>
      </c>
    </row>
    <row r="1462" spans="21:23">
      <c r="U1462" s="693">
        <f t="shared" si="22"/>
        <v>41244</v>
      </c>
      <c r="V1462" s="694">
        <v>41273</v>
      </c>
      <c r="W1462" s="695">
        <v>1768.23</v>
      </c>
    </row>
    <row r="1463" spans="21:23">
      <c r="U1463" s="693">
        <f t="shared" si="22"/>
        <v>41244</v>
      </c>
      <c r="V1463" s="694">
        <v>41274</v>
      </c>
      <c r="W1463" s="695">
        <v>1768.23</v>
      </c>
    </row>
    <row r="1464" spans="21:23">
      <c r="U1464" s="693">
        <f t="shared" si="22"/>
        <v>41275</v>
      </c>
      <c r="V1464" s="694">
        <v>41275</v>
      </c>
      <c r="W1464" s="695">
        <v>1768.23</v>
      </c>
    </row>
    <row r="1465" spans="21:23">
      <c r="U1465" s="693">
        <f t="shared" si="22"/>
        <v>41275</v>
      </c>
      <c r="V1465" s="694">
        <v>41276</v>
      </c>
      <c r="W1465" s="695">
        <v>1768.23</v>
      </c>
    </row>
    <row r="1466" spans="21:23">
      <c r="U1466" s="693">
        <f t="shared" si="22"/>
        <v>41275</v>
      </c>
      <c r="V1466" s="694">
        <v>41277</v>
      </c>
      <c r="W1466" s="695">
        <v>1759.97</v>
      </c>
    </row>
    <row r="1467" spans="21:23">
      <c r="U1467" s="693">
        <f t="shared" si="22"/>
        <v>41275</v>
      </c>
      <c r="V1467" s="694">
        <v>41278</v>
      </c>
      <c r="W1467" s="695">
        <v>1760.83</v>
      </c>
    </row>
    <row r="1468" spans="21:23">
      <c r="U1468" s="693">
        <f t="shared" si="22"/>
        <v>41275</v>
      </c>
      <c r="V1468" s="694">
        <v>41279</v>
      </c>
      <c r="W1468" s="695">
        <v>1767.54</v>
      </c>
    </row>
    <row r="1469" spans="21:23">
      <c r="U1469" s="693">
        <f t="shared" si="22"/>
        <v>41275</v>
      </c>
      <c r="V1469" s="694">
        <v>41280</v>
      </c>
      <c r="W1469" s="695">
        <v>1767.54</v>
      </c>
    </row>
    <row r="1470" spans="21:23">
      <c r="U1470" s="693">
        <f t="shared" si="22"/>
        <v>41275</v>
      </c>
      <c r="V1470" s="694">
        <v>41281</v>
      </c>
      <c r="W1470" s="695">
        <v>1767.54</v>
      </c>
    </row>
    <row r="1471" spans="21:23">
      <c r="U1471" s="693">
        <f t="shared" si="22"/>
        <v>41275</v>
      </c>
      <c r="V1471" s="694">
        <v>41282</v>
      </c>
      <c r="W1471" s="695">
        <v>1767.54</v>
      </c>
    </row>
    <row r="1472" spans="21:23">
      <c r="U1472" s="693">
        <f t="shared" si="22"/>
        <v>41275</v>
      </c>
      <c r="V1472" s="694">
        <v>41283</v>
      </c>
      <c r="W1472" s="695">
        <v>1771.31</v>
      </c>
    </row>
    <row r="1473" spans="21:23">
      <c r="U1473" s="693">
        <f t="shared" si="22"/>
        <v>41275</v>
      </c>
      <c r="V1473" s="694">
        <v>41284</v>
      </c>
      <c r="W1473" s="695">
        <v>1767.96</v>
      </c>
    </row>
    <row r="1474" spans="21:23">
      <c r="U1474" s="693">
        <f t="shared" si="22"/>
        <v>41275</v>
      </c>
      <c r="V1474" s="694">
        <v>41285</v>
      </c>
      <c r="W1474" s="695">
        <v>1761.5</v>
      </c>
    </row>
    <row r="1475" spans="21:23">
      <c r="U1475" s="693">
        <f t="shared" ref="U1475:U1538" si="23">+DATE(YEAR(V1475),MONTH(V1475),1)</f>
        <v>41275</v>
      </c>
      <c r="V1475" s="694">
        <v>41286</v>
      </c>
      <c r="W1475" s="695">
        <v>1762.38</v>
      </c>
    </row>
    <row r="1476" spans="21:23">
      <c r="U1476" s="693">
        <f t="shared" si="23"/>
        <v>41275</v>
      </c>
      <c r="V1476" s="694">
        <v>41287</v>
      </c>
      <c r="W1476" s="695">
        <v>1762.38</v>
      </c>
    </row>
    <row r="1477" spans="21:23">
      <c r="U1477" s="693">
        <f t="shared" si="23"/>
        <v>41275</v>
      </c>
      <c r="V1477" s="694">
        <v>41288</v>
      </c>
      <c r="W1477" s="695">
        <v>1762.38</v>
      </c>
    </row>
    <row r="1478" spans="21:23">
      <c r="U1478" s="693">
        <f t="shared" si="23"/>
        <v>41275</v>
      </c>
      <c r="V1478" s="694">
        <v>41289</v>
      </c>
      <c r="W1478" s="695">
        <v>1758.45</v>
      </c>
    </row>
    <row r="1479" spans="21:23">
      <c r="U1479" s="693">
        <f t="shared" si="23"/>
        <v>41275</v>
      </c>
      <c r="V1479" s="694">
        <v>41290</v>
      </c>
      <c r="W1479" s="695">
        <v>1769.88</v>
      </c>
    </row>
    <row r="1480" spans="21:23">
      <c r="U1480" s="693">
        <f t="shared" si="23"/>
        <v>41275</v>
      </c>
      <c r="V1480" s="694">
        <v>41291</v>
      </c>
      <c r="W1480" s="695">
        <v>1775.15</v>
      </c>
    </row>
    <row r="1481" spans="21:23">
      <c r="U1481" s="693">
        <f t="shared" si="23"/>
        <v>41275</v>
      </c>
      <c r="V1481" s="694">
        <v>41292</v>
      </c>
      <c r="W1481" s="695">
        <v>1767.78</v>
      </c>
    </row>
    <row r="1482" spans="21:23">
      <c r="U1482" s="693">
        <f t="shared" si="23"/>
        <v>41275</v>
      </c>
      <c r="V1482" s="694">
        <v>41293</v>
      </c>
      <c r="W1482" s="695">
        <v>1767.74</v>
      </c>
    </row>
    <row r="1483" spans="21:23">
      <c r="U1483" s="693">
        <f t="shared" si="23"/>
        <v>41275</v>
      </c>
      <c r="V1483" s="694">
        <v>41294</v>
      </c>
      <c r="W1483" s="695">
        <v>1767.74</v>
      </c>
    </row>
    <row r="1484" spans="21:23">
      <c r="U1484" s="693">
        <f t="shared" si="23"/>
        <v>41275</v>
      </c>
      <c r="V1484" s="694">
        <v>41295</v>
      </c>
      <c r="W1484" s="695">
        <v>1767.74</v>
      </c>
    </row>
    <row r="1485" spans="21:23">
      <c r="U1485" s="693">
        <f t="shared" si="23"/>
        <v>41275</v>
      </c>
      <c r="V1485" s="694">
        <v>41296</v>
      </c>
      <c r="W1485" s="695">
        <v>1767.74</v>
      </c>
    </row>
    <row r="1486" spans="21:23">
      <c r="U1486" s="693">
        <f t="shared" si="23"/>
        <v>41275</v>
      </c>
      <c r="V1486" s="694">
        <v>41297</v>
      </c>
      <c r="W1486" s="695">
        <v>1776.96</v>
      </c>
    </row>
    <row r="1487" spans="21:23">
      <c r="U1487" s="693">
        <f t="shared" si="23"/>
        <v>41275</v>
      </c>
      <c r="V1487" s="694">
        <v>41298</v>
      </c>
      <c r="W1487" s="695">
        <v>1778.69</v>
      </c>
    </row>
    <row r="1488" spans="21:23">
      <c r="U1488" s="693">
        <f t="shared" si="23"/>
        <v>41275</v>
      </c>
      <c r="V1488" s="694">
        <v>41299</v>
      </c>
      <c r="W1488" s="695">
        <v>1779.73</v>
      </c>
    </row>
    <row r="1489" spans="21:23">
      <c r="U1489" s="693">
        <f t="shared" si="23"/>
        <v>41275</v>
      </c>
      <c r="V1489" s="694">
        <v>41300</v>
      </c>
      <c r="W1489" s="695">
        <v>1779.25</v>
      </c>
    </row>
    <row r="1490" spans="21:23">
      <c r="U1490" s="693">
        <f t="shared" si="23"/>
        <v>41275</v>
      </c>
      <c r="V1490" s="694">
        <v>41301</v>
      </c>
      <c r="W1490" s="695">
        <v>1779.25</v>
      </c>
    </row>
    <row r="1491" spans="21:23">
      <c r="U1491" s="693">
        <f t="shared" si="23"/>
        <v>41275</v>
      </c>
      <c r="V1491" s="694">
        <v>41302</v>
      </c>
      <c r="W1491" s="695">
        <v>1779.25</v>
      </c>
    </row>
    <row r="1492" spans="21:23">
      <c r="U1492" s="693">
        <f t="shared" si="23"/>
        <v>41275</v>
      </c>
      <c r="V1492" s="694">
        <v>41303</v>
      </c>
      <c r="W1492" s="695">
        <v>1779.84</v>
      </c>
    </row>
    <row r="1493" spans="21:23">
      <c r="U1493" s="693">
        <f t="shared" si="23"/>
        <v>41275</v>
      </c>
      <c r="V1493" s="694">
        <v>41304</v>
      </c>
      <c r="W1493" s="695">
        <v>1776.09</v>
      </c>
    </row>
    <row r="1494" spans="21:23">
      <c r="U1494" s="693">
        <f t="shared" si="23"/>
        <v>41275</v>
      </c>
      <c r="V1494" s="694">
        <v>41305</v>
      </c>
      <c r="W1494" s="695">
        <v>1773.24</v>
      </c>
    </row>
    <row r="1495" spans="21:23">
      <c r="U1495" s="693">
        <f t="shared" si="23"/>
        <v>41306</v>
      </c>
      <c r="V1495" s="694">
        <v>41306</v>
      </c>
      <c r="W1495" s="695">
        <v>1775.65</v>
      </c>
    </row>
    <row r="1496" spans="21:23">
      <c r="U1496" s="693">
        <f t="shared" si="23"/>
        <v>41306</v>
      </c>
      <c r="V1496" s="694">
        <v>41307</v>
      </c>
      <c r="W1496" s="695">
        <v>1776.2</v>
      </c>
    </row>
    <row r="1497" spans="21:23">
      <c r="U1497" s="693">
        <f t="shared" si="23"/>
        <v>41306</v>
      </c>
      <c r="V1497" s="694">
        <v>41308</v>
      </c>
      <c r="W1497" s="695">
        <v>1776.2</v>
      </c>
    </row>
    <row r="1498" spans="21:23">
      <c r="U1498" s="693">
        <f t="shared" si="23"/>
        <v>41306</v>
      </c>
      <c r="V1498" s="694">
        <v>41309</v>
      </c>
      <c r="W1498" s="695">
        <v>1776.2</v>
      </c>
    </row>
    <row r="1499" spans="21:23">
      <c r="U1499" s="693">
        <f t="shared" si="23"/>
        <v>41306</v>
      </c>
      <c r="V1499" s="694">
        <v>41310</v>
      </c>
      <c r="W1499" s="695">
        <v>1785.92</v>
      </c>
    </row>
    <row r="1500" spans="21:23">
      <c r="U1500" s="693">
        <f t="shared" si="23"/>
        <v>41306</v>
      </c>
      <c r="V1500" s="694">
        <v>41311</v>
      </c>
      <c r="W1500" s="695">
        <v>1789.09</v>
      </c>
    </row>
    <row r="1501" spans="21:23">
      <c r="U1501" s="693">
        <f t="shared" si="23"/>
        <v>41306</v>
      </c>
      <c r="V1501" s="694">
        <v>41312</v>
      </c>
      <c r="W1501" s="695">
        <v>1791.24</v>
      </c>
    </row>
    <row r="1502" spans="21:23">
      <c r="U1502" s="693">
        <f t="shared" si="23"/>
        <v>41306</v>
      </c>
      <c r="V1502" s="694">
        <v>41313</v>
      </c>
      <c r="W1502" s="695">
        <v>1795.21</v>
      </c>
    </row>
    <row r="1503" spans="21:23">
      <c r="U1503" s="693">
        <f t="shared" si="23"/>
        <v>41306</v>
      </c>
      <c r="V1503" s="694">
        <v>41314</v>
      </c>
      <c r="W1503" s="695">
        <v>1790.61</v>
      </c>
    </row>
    <row r="1504" spans="21:23">
      <c r="U1504" s="693">
        <f t="shared" si="23"/>
        <v>41306</v>
      </c>
      <c r="V1504" s="694">
        <v>41315</v>
      </c>
      <c r="W1504" s="695">
        <v>1790.61</v>
      </c>
    </row>
    <row r="1505" spans="21:23">
      <c r="U1505" s="693">
        <f t="shared" si="23"/>
        <v>41306</v>
      </c>
      <c r="V1505" s="694">
        <v>41316</v>
      </c>
      <c r="W1505" s="695">
        <v>1790.61</v>
      </c>
    </row>
    <row r="1506" spans="21:23">
      <c r="U1506" s="693">
        <f t="shared" si="23"/>
        <v>41306</v>
      </c>
      <c r="V1506" s="694">
        <v>41317</v>
      </c>
      <c r="W1506" s="695">
        <v>1784.71</v>
      </c>
    </row>
    <row r="1507" spans="21:23">
      <c r="U1507" s="693">
        <f t="shared" si="23"/>
        <v>41306</v>
      </c>
      <c r="V1507" s="694">
        <v>41318</v>
      </c>
      <c r="W1507" s="695">
        <v>1783.2</v>
      </c>
    </row>
    <row r="1508" spans="21:23">
      <c r="U1508" s="693">
        <f t="shared" si="23"/>
        <v>41306</v>
      </c>
      <c r="V1508" s="694">
        <v>41319</v>
      </c>
      <c r="W1508" s="695">
        <v>1777.72</v>
      </c>
    </row>
    <row r="1509" spans="21:23">
      <c r="U1509" s="693">
        <f t="shared" si="23"/>
        <v>41306</v>
      </c>
      <c r="V1509" s="694">
        <v>41320</v>
      </c>
      <c r="W1509" s="695">
        <v>1783.19</v>
      </c>
    </row>
    <row r="1510" spans="21:23">
      <c r="U1510" s="693">
        <f t="shared" si="23"/>
        <v>41306</v>
      </c>
      <c r="V1510" s="694">
        <v>41321</v>
      </c>
      <c r="W1510" s="695">
        <v>1785.41</v>
      </c>
    </row>
    <row r="1511" spans="21:23">
      <c r="U1511" s="693">
        <f t="shared" si="23"/>
        <v>41306</v>
      </c>
      <c r="V1511" s="694">
        <v>41322</v>
      </c>
      <c r="W1511" s="695">
        <v>1785.41</v>
      </c>
    </row>
    <row r="1512" spans="21:23">
      <c r="U1512" s="693">
        <f t="shared" si="23"/>
        <v>41306</v>
      </c>
      <c r="V1512" s="694">
        <v>41323</v>
      </c>
      <c r="W1512" s="695">
        <v>1785.41</v>
      </c>
    </row>
    <row r="1513" spans="21:23">
      <c r="U1513" s="693">
        <f t="shared" si="23"/>
        <v>41306</v>
      </c>
      <c r="V1513" s="694">
        <v>41324</v>
      </c>
      <c r="W1513" s="695">
        <v>1785.41</v>
      </c>
    </row>
    <row r="1514" spans="21:23">
      <c r="U1514" s="693">
        <f t="shared" si="23"/>
        <v>41306</v>
      </c>
      <c r="V1514" s="694">
        <v>41325</v>
      </c>
      <c r="W1514" s="695">
        <v>1794.63</v>
      </c>
    </row>
    <row r="1515" spans="21:23">
      <c r="U1515" s="693">
        <f t="shared" si="23"/>
        <v>41306</v>
      </c>
      <c r="V1515" s="694">
        <v>41326</v>
      </c>
      <c r="W1515" s="695">
        <v>1791.33</v>
      </c>
    </row>
    <row r="1516" spans="21:23">
      <c r="U1516" s="693">
        <f t="shared" si="23"/>
        <v>41306</v>
      </c>
      <c r="V1516" s="694">
        <v>41327</v>
      </c>
      <c r="W1516" s="695">
        <v>1798.21</v>
      </c>
    </row>
    <row r="1517" spans="21:23">
      <c r="U1517" s="693">
        <f t="shared" si="23"/>
        <v>41306</v>
      </c>
      <c r="V1517" s="694">
        <v>41328</v>
      </c>
      <c r="W1517" s="695">
        <v>1800.7</v>
      </c>
    </row>
    <row r="1518" spans="21:23">
      <c r="U1518" s="693">
        <f t="shared" si="23"/>
        <v>41306</v>
      </c>
      <c r="V1518" s="694">
        <v>41329</v>
      </c>
      <c r="W1518" s="695">
        <v>1800.7</v>
      </c>
    </row>
    <row r="1519" spans="21:23">
      <c r="U1519" s="693">
        <f t="shared" si="23"/>
        <v>41306</v>
      </c>
      <c r="V1519" s="694">
        <v>41330</v>
      </c>
      <c r="W1519" s="695">
        <v>1800.7</v>
      </c>
    </row>
    <row r="1520" spans="21:23">
      <c r="U1520" s="693">
        <f t="shared" si="23"/>
        <v>41306</v>
      </c>
      <c r="V1520" s="694">
        <v>41331</v>
      </c>
      <c r="W1520" s="695">
        <v>1806.11</v>
      </c>
    </row>
    <row r="1521" spans="21:23">
      <c r="U1521" s="693">
        <f t="shared" si="23"/>
        <v>41306</v>
      </c>
      <c r="V1521" s="694">
        <v>41332</v>
      </c>
      <c r="W1521" s="695">
        <v>1818.54</v>
      </c>
    </row>
    <row r="1522" spans="21:23">
      <c r="U1522" s="693">
        <f t="shared" si="23"/>
        <v>41306</v>
      </c>
      <c r="V1522" s="694">
        <v>41333</v>
      </c>
      <c r="W1522" s="695">
        <v>1816.42</v>
      </c>
    </row>
    <row r="1523" spans="21:23">
      <c r="U1523" s="693">
        <f t="shared" si="23"/>
        <v>41334</v>
      </c>
      <c r="V1523" s="694">
        <v>41334</v>
      </c>
      <c r="W1523" s="695">
        <v>1814.28</v>
      </c>
    </row>
    <row r="1524" spans="21:23">
      <c r="U1524" s="693">
        <f t="shared" si="23"/>
        <v>41334</v>
      </c>
      <c r="V1524" s="694">
        <v>41335</v>
      </c>
      <c r="W1524" s="695">
        <v>1816.48</v>
      </c>
    </row>
    <row r="1525" spans="21:23">
      <c r="U1525" s="693">
        <f t="shared" si="23"/>
        <v>41334</v>
      </c>
      <c r="V1525" s="694">
        <v>41336</v>
      </c>
      <c r="W1525" s="695">
        <v>1816.48</v>
      </c>
    </row>
    <row r="1526" spans="21:23">
      <c r="U1526" s="693">
        <f t="shared" si="23"/>
        <v>41334</v>
      </c>
      <c r="V1526" s="694">
        <v>41337</v>
      </c>
      <c r="W1526" s="695">
        <v>1816.48</v>
      </c>
    </row>
    <row r="1527" spans="21:23">
      <c r="U1527" s="693">
        <f t="shared" si="23"/>
        <v>41334</v>
      </c>
      <c r="V1527" s="694">
        <v>41338</v>
      </c>
      <c r="W1527" s="695">
        <v>1813.53</v>
      </c>
    </row>
    <row r="1528" spans="21:23">
      <c r="U1528" s="693">
        <f t="shared" si="23"/>
        <v>41334</v>
      </c>
      <c r="V1528" s="694">
        <v>41339</v>
      </c>
      <c r="W1528" s="695">
        <v>1809.65</v>
      </c>
    </row>
    <row r="1529" spans="21:23">
      <c r="U1529" s="693">
        <f t="shared" si="23"/>
        <v>41334</v>
      </c>
      <c r="V1529" s="694">
        <v>41340</v>
      </c>
      <c r="W1529" s="695">
        <v>1808</v>
      </c>
    </row>
    <row r="1530" spans="21:23">
      <c r="U1530" s="693">
        <f t="shared" si="23"/>
        <v>41334</v>
      </c>
      <c r="V1530" s="694">
        <v>41341</v>
      </c>
      <c r="W1530" s="695">
        <v>1803.65</v>
      </c>
    </row>
    <row r="1531" spans="21:23">
      <c r="U1531" s="693">
        <f t="shared" si="23"/>
        <v>41334</v>
      </c>
      <c r="V1531" s="694">
        <v>41342</v>
      </c>
      <c r="W1531" s="695">
        <v>1800.45</v>
      </c>
    </row>
    <row r="1532" spans="21:23">
      <c r="U1532" s="693">
        <f t="shared" si="23"/>
        <v>41334</v>
      </c>
      <c r="V1532" s="694">
        <v>41343</v>
      </c>
      <c r="W1532" s="695">
        <v>1800.45</v>
      </c>
    </row>
    <row r="1533" spans="21:23">
      <c r="U1533" s="693">
        <f t="shared" si="23"/>
        <v>41334</v>
      </c>
      <c r="V1533" s="694">
        <v>41344</v>
      </c>
      <c r="W1533" s="695">
        <v>1800.45</v>
      </c>
    </row>
    <row r="1534" spans="21:23">
      <c r="U1534" s="693">
        <f t="shared" si="23"/>
        <v>41334</v>
      </c>
      <c r="V1534" s="694">
        <v>41345</v>
      </c>
      <c r="W1534" s="695">
        <v>1801.2</v>
      </c>
    </row>
    <row r="1535" spans="21:23">
      <c r="U1535" s="693">
        <f t="shared" si="23"/>
        <v>41334</v>
      </c>
      <c r="V1535" s="694">
        <v>41346</v>
      </c>
      <c r="W1535" s="695">
        <v>1801.64</v>
      </c>
    </row>
    <row r="1536" spans="21:23">
      <c r="U1536" s="693">
        <f t="shared" si="23"/>
        <v>41334</v>
      </c>
      <c r="V1536" s="694">
        <v>41347</v>
      </c>
      <c r="W1536" s="695">
        <v>1798.56</v>
      </c>
    </row>
    <row r="1537" spans="21:23">
      <c r="U1537" s="693">
        <f t="shared" si="23"/>
        <v>41334</v>
      </c>
      <c r="V1537" s="694">
        <v>41348</v>
      </c>
      <c r="W1537" s="695">
        <v>1797.28</v>
      </c>
    </row>
    <row r="1538" spans="21:23">
      <c r="U1538" s="693">
        <f t="shared" si="23"/>
        <v>41334</v>
      </c>
      <c r="V1538" s="694">
        <v>41349</v>
      </c>
      <c r="W1538" s="695">
        <v>1804.06</v>
      </c>
    </row>
    <row r="1539" spans="21:23">
      <c r="U1539" s="693">
        <f t="shared" ref="U1539:U1602" si="24">+DATE(YEAR(V1539),MONTH(V1539),1)</f>
        <v>41334</v>
      </c>
      <c r="V1539" s="694">
        <v>41350</v>
      </c>
      <c r="W1539" s="695">
        <v>1804.06</v>
      </c>
    </row>
    <row r="1540" spans="21:23">
      <c r="U1540" s="693">
        <f t="shared" si="24"/>
        <v>41334</v>
      </c>
      <c r="V1540" s="694">
        <v>41351</v>
      </c>
      <c r="W1540" s="695">
        <v>1804.06</v>
      </c>
    </row>
    <row r="1541" spans="21:23">
      <c r="U1541" s="693">
        <f t="shared" si="24"/>
        <v>41334</v>
      </c>
      <c r="V1541" s="694">
        <v>41352</v>
      </c>
      <c r="W1541" s="695">
        <v>1809.58</v>
      </c>
    </row>
    <row r="1542" spans="21:23">
      <c r="U1542" s="693">
        <f t="shared" si="24"/>
        <v>41334</v>
      </c>
      <c r="V1542" s="694">
        <v>41353</v>
      </c>
      <c r="W1542" s="695">
        <v>1809.83</v>
      </c>
    </row>
    <row r="1543" spans="21:23">
      <c r="U1543" s="693">
        <f t="shared" si="24"/>
        <v>41334</v>
      </c>
      <c r="V1543" s="694">
        <v>41354</v>
      </c>
      <c r="W1543" s="695">
        <v>1812.35</v>
      </c>
    </row>
    <row r="1544" spans="21:23">
      <c r="U1544" s="693">
        <f t="shared" si="24"/>
        <v>41334</v>
      </c>
      <c r="V1544" s="694">
        <v>41355</v>
      </c>
      <c r="W1544" s="695">
        <v>1822.78</v>
      </c>
    </row>
    <row r="1545" spans="21:23">
      <c r="U1545" s="693">
        <f t="shared" si="24"/>
        <v>41334</v>
      </c>
      <c r="V1545" s="694">
        <v>41356</v>
      </c>
      <c r="W1545" s="695">
        <v>1825.79</v>
      </c>
    </row>
    <row r="1546" spans="21:23">
      <c r="U1546" s="693">
        <f t="shared" si="24"/>
        <v>41334</v>
      </c>
      <c r="V1546" s="694">
        <v>41357</v>
      </c>
      <c r="W1546" s="695">
        <v>1825.79</v>
      </c>
    </row>
    <row r="1547" spans="21:23">
      <c r="U1547" s="693">
        <f t="shared" si="24"/>
        <v>41334</v>
      </c>
      <c r="V1547" s="694">
        <v>41358</v>
      </c>
      <c r="W1547" s="695">
        <v>1825.79</v>
      </c>
    </row>
    <row r="1548" spans="21:23">
      <c r="U1548" s="693">
        <f t="shared" si="24"/>
        <v>41334</v>
      </c>
      <c r="V1548" s="694">
        <v>41359</v>
      </c>
      <c r="W1548" s="695">
        <v>1825.79</v>
      </c>
    </row>
    <row r="1549" spans="21:23">
      <c r="U1549" s="693">
        <f t="shared" si="24"/>
        <v>41334</v>
      </c>
      <c r="V1549" s="694">
        <v>41360</v>
      </c>
      <c r="W1549" s="695">
        <v>1828.95</v>
      </c>
    </row>
    <row r="1550" spans="21:23">
      <c r="U1550" s="693">
        <f t="shared" si="24"/>
        <v>41334</v>
      </c>
      <c r="V1550" s="694">
        <v>41361</v>
      </c>
      <c r="W1550" s="695">
        <v>1832.2</v>
      </c>
    </row>
    <row r="1551" spans="21:23">
      <c r="U1551" s="693">
        <f t="shared" si="24"/>
        <v>41334</v>
      </c>
      <c r="V1551" s="694">
        <v>41362</v>
      </c>
      <c r="W1551" s="695">
        <v>1832.2</v>
      </c>
    </row>
    <row r="1552" spans="21:23">
      <c r="U1552" s="693">
        <f t="shared" si="24"/>
        <v>41334</v>
      </c>
      <c r="V1552" s="694">
        <v>41363</v>
      </c>
      <c r="W1552" s="695">
        <v>1832.2</v>
      </c>
    </row>
    <row r="1553" spans="21:23">
      <c r="U1553" s="693">
        <f t="shared" si="24"/>
        <v>41334</v>
      </c>
      <c r="V1553" s="694">
        <v>41364</v>
      </c>
      <c r="W1553" s="695">
        <v>1832.2</v>
      </c>
    </row>
    <row r="1554" spans="21:23">
      <c r="U1554" s="693">
        <f t="shared" si="24"/>
        <v>41365</v>
      </c>
      <c r="V1554" s="694">
        <v>41365</v>
      </c>
      <c r="W1554" s="695">
        <v>1832.2</v>
      </c>
    </row>
    <row r="1555" spans="21:23">
      <c r="U1555" s="693">
        <f t="shared" si="24"/>
        <v>41365</v>
      </c>
      <c r="V1555" s="694">
        <v>41366</v>
      </c>
      <c r="W1555" s="695">
        <v>1823.12</v>
      </c>
    </row>
    <row r="1556" spans="21:23">
      <c r="U1556" s="693">
        <f t="shared" si="24"/>
        <v>41365</v>
      </c>
      <c r="V1556" s="694">
        <v>41367</v>
      </c>
      <c r="W1556" s="695">
        <v>1817.14</v>
      </c>
    </row>
    <row r="1557" spans="21:23">
      <c r="U1557" s="693">
        <f t="shared" si="24"/>
        <v>41365</v>
      </c>
      <c r="V1557" s="694">
        <v>41368</v>
      </c>
      <c r="W1557" s="695">
        <v>1819.93</v>
      </c>
    </row>
    <row r="1558" spans="21:23">
      <c r="U1558" s="693">
        <f t="shared" si="24"/>
        <v>41365</v>
      </c>
      <c r="V1558" s="694">
        <v>41369</v>
      </c>
      <c r="W1558" s="695">
        <v>1829.01</v>
      </c>
    </row>
    <row r="1559" spans="21:23">
      <c r="U1559" s="693">
        <f t="shared" si="24"/>
        <v>41365</v>
      </c>
      <c r="V1559" s="694">
        <v>41370</v>
      </c>
      <c r="W1559" s="695">
        <v>1826.88</v>
      </c>
    </row>
    <row r="1560" spans="21:23">
      <c r="U1560" s="693">
        <f t="shared" si="24"/>
        <v>41365</v>
      </c>
      <c r="V1560" s="694">
        <v>41371</v>
      </c>
      <c r="W1560" s="695">
        <v>1826.88</v>
      </c>
    </row>
    <row r="1561" spans="21:23">
      <c r="U1561" s="693">
        <f t="shared" si="24"/>
        <v>41365</v>
      </c>
      <c r="V1561" s="694">
        <v>41372</v>
      </c>
      <c r="W1561" s="695">
        <v>1826.88</v>
      </c>
    </row>
    <row r="1562" spans="21:23">
      <c r="U1562" s="693">
        <f t="shared" si="24"/>
        <v>41365</v>
      </c>
      <c r="V1562" s="694">
        <v>41373</v>
      </c>
      <c r="W1562" s="695">
        <v>1817.66</v>
      </c>
    </row>
    <row r="1563" spans="21:23">
      <c r="U1563" s="693">
        <f t="shared" si="24"/>
        <v>41365</v>
      </c>
      <c r="V1563" s="694">
        <v>41374</v>
      </c>
      <c r="W1563" s="695">
        <v>1813.11</v>
      </c>
    </row>
    <row r="1564" spans="21:23">
      <c r="U1564" s="693">
        <f t="shared" si="24"/>
        <v>41365</v>
      </c>
      <c r="V1564" s="694">
        <v>41375</v>
      </c>
      <c r="W1564" s="695">
        <v>1821.2</v>
      </c>
    </row>
    <row r="1565" spans="21:23">
      <c r="U1565" s="693">
        <f t="shared" si="24"/>
        <v>41365</v>
      </c>
      <c r="V1565" s="694">
        <v>41376</v>
      </c>
      <c r="W1565" s="695">
        <v>1823.84</v>
      </c>
    </row>
    <row r="1566" spans="21:23">
      <c r="U1566" s="693">
        <f t="shared" si="24"/>
        <v>41365</v>
      </c>
      <c r="V1566" s="694">
        <v>41377</v>
      </c>
      <c r="W1566" s="695">
        <v>1827.79</v>
      </c>
    </row>
    <row r="1567" spans="21:23">
      <c r="U1567" s="693">
        <f t="shared" si="24"/>
        <v>41365</v>
      </c>
      <c r="V1567" s="694">
        <v>41378</v>
      </c>
      <c r="W1567" s="695">
        <v>1827.79</v>
      </c>
    </row>
    <row r="1568" spans="21:23">
      <c r="U1568" s="693">
        <f t="shared" si="24"/>
        <v>41365</v>
      </c>
      <c r="V1568" s="694">
        <v>41379</v>
      </c>
      <c r="W1568" s="695">
        <v>1827.79</v>
      </c>
    </row>
    <row r="1569" spans="21:23">
      <c r="U1569" s="693">
        <f t="shared" si="24"/>
        <v>41365</v>
      </c>
      <c r="V1569" s="694">
        <v>41380</v>
      </c>
      <c r="W1569" s="695">
        <v>1834.86</v>
      </c>
    </row>
    <row r="1570" spans="21:23">
      <c r="U1570" s="693">
        <f t="shared" si="24"/>
        <v>41365</v>
      </c>
      <c r="V1570" s="694">
        <v>41381</v>
      </c>
      <c r="W1570" s="695">
        <v>1833.98</v>
      </c>
    </row>
    <row r="1571" spans="21:23">
      <c r="U1571" s="693">
        <f t="shared" si="24"/>
        <v>41365</v>
      </c>
      <c r="V1571" s="694">
        <v>41382</v>
      </c>
      <c r="W1571" s="695">
        <v>1846.46</v>
      </c>
    </row>
    <row r="1572" spans="21:23">
      <c r="U1572" s="693">
        <f t="shared" si="24"/>
        <v>41365</v>
      </c>
      <c r="V1572" s="694">
        <v>41383</v>
      </c>
      <c r="W1572" s="695">
        <v>1847.02</v>
      </c>
    </row>
    <row r="1573" spans="21:23">
      <c r="U1573" s="693">
        <f t="shared" si="24"/>
        <v>41365</v>
      </c>
      <c r="V1573" s="694">
        <v>41384</v>
      </c>
      <c r="W1573" s="695">
        <v>1835.57</v>
      </c>
    </row>
    <row r="1574" spans="21:23">
      <c r="U1574" s="693">
        <f t="shared" si="24"/>
        <v>41365</v>
      </c>
      <c r="V1574" s="694">
        <v>41385</v>
      </c>
      <c r="W1574" s="695">
        <v>1835.57</v>
      </c>
    </row>
    <row r="1575" spans="21:23">
      <c r="U1575" s="693">
        <f t="shared" si="24"/>
        <v>41365</v>
      </c>
      <c r="V1575" s="694">
        <v>41386</v>
      </c>
      <c r="W1575" s="695">
        <v>1835.57</v>
      </c>
    </row>
    <row r="1576" spans="21:23">
      <c r="U1576" s="693">
        <f t="shared" si="24"/>
        <v>41365</v>
      </c>
      <c r="V1576" s="694">
        <v>41387</v>
      </c>
      <c r="W1576" s="695">
        <v>1841.14</v>
      </c>
    </row>
    <row r="1577" spans="21:23">
      <c r="U1577" s="693">
        <f t="shared" si="24"/>
        <v>41365</v>
      </c>
      <c r="V1577" s="694">
        <v>41388</v>
      </c>
      <c r="W1577" s="695">
        <v>1838.03</v>
      </c>
    </row>
    <row r="1578" spans="21:23">
      <c r="U1578" s="693">
        <f t="shared" si="24"/>
        <v>41365</v>
      </c>
      <c r="V1578" s="694">
        <v>41389</v>
      </c>
      <c r="W1578" s="695">
        <v>1836.79</v>
      </c>
    </row>
    <row r="1579" spans="21:23">
      <c r="U1579" s="693">
        <f t="shared" si="24"/>
        <v>41365</v>
      </c>
      <c r="V1579" s="694">
        <v>41390</v>
      </c>
      <c r="W1579" s="695">
        <v>1830.84</v>
      </c>
    </row>
    <row r="1580" spans="21:23">
      <c r="U1580" s="693">
        <f t="shared" si="24"/>
        <v>41365</v>
      </c>
      <c r="V1580" s="694">
        <v>41391</v>
      </c>
      <c r="W1580" s="695">
        <v>1833.7</v>
      </c>
    </row>
    <row r="1581" spans="21:23">
      <c r="U1581" s="693">
        <f t="shared" si="24"/>
        <v>41365</v>
      </c>
      <c r="V1581" s="694">
        <v>41392</v>
      </c>
      <c r="W1581" s="695">
        <v>1833.7</v>
      </c>
    </row>
    <row r="1582" spans="21:23">
      <c r="U1582" s="693">
        <f t="shared" si="24"/>
        <v>41365</v>
      </c>
      <c r="V1582" s="694">
        <v>41393</v>
      </c>
      <c r="W1582" s="695">
        <v>1833.7</v>
      </c>
    </row>
    <row r="1583" spans="21:23">
      <c r="U1583" s="693">
        <f t="shared" si="24"/>
        <v>41365</v>
      </c>
      <c r="V1583" s="694">
        <v>41394</v>
      </c>
      <c r="W1583" s="695">
        <v>1828.79</v>
      </c>
    </row>
    <row r="1584" spans="21:23">
      <c r="U1584" s="693">
        <f t="shared" si="24"/>
        <v>41395</v>
      </c>
      <c r="V1584" s="694">
        <v>41395</v>
      </c>
      <c r="W1584" s="695">
        <v>1825.83</v>
      </c>
    </row>
    <row r="1585" spans="21:23">
      <c r="U1585" s="693">
        <f t="shared" si="24"/>
        <v>41395</v>
      </c>
      <c r="V1585" s="694">
        <v>41396</v>
      </c>
      <c r="W1585" s="695">
        <v>1825.83</v>
      </c>
    </row>
    <row r="1586" spans="21:23">
      <c r="U1586" s="693">
        <f t="shared" si="24"/>
        <v>41395</v>
      </c>
      <c r="V1586" s="694">
        <v>41397</v>
      </c>
      <c r="W1586" s="695">
        <v>1836.34</v>
      </c>
    </row>
    <row r="1587" spans="21:23">
      <c r="U1587" s="693">
        <f t="shared" si="24"/>
        <v>41395</v>
      </c>
      <c r="V1587" s="694">
        <v>41398</v>
      </c>
      <c r="W1587" s="695">
        <v>1835.88</v>
      </c>
    </row>
    <row r="1588" spans="21:23">
      <c r="U1588" s="693">
        <f t="shared" si="24"/>
        <v>41395</v>
      </c>
      <c r="V1588" s="694">
        <v>41399</v>
      </c>
      <c r="W1588" s="695">
        <v>1835.88</v>
      </c>
    </row>
    <row r="1589" spans="21:23">
      <c r="U1589" s="693">
        <f t="shared" si="24"/>
        <v>41395</v>
      </c>
      <c r="V1589" s="694">
        <v>41400</v>
      </c>
      <c r="W1589" s="695">
        <v>1835.88</v>
      </c>
    </row>
    <row r="1590" spans="21:23">
      <c r="U1590" s="693">
        <f t="shared" si="24"/>
        <v>41395</v>
      </c>
      <c r="V1590" s="694">
        <v>41401</v>
      </c>
      <c r="W1590" s="695">
        <v>1831.42</v>
      </c>
    </row>
    <row r="1591" spans="21:23">
      <c r="U1591" s="693">
        <f t="shared" si="24"/>
        <v>41395</v>
      </c>
      <c r="V1591" s="694">
        <v>41402</v>
      </c>
      <c r="W1591" s="695">
        <v>1827.13</v>
      </c>
    </row>
    <row r="1592" spans="21:23">
      <c r="U1592" s="693">
        <f t="shared" si="24"/>
        <v>41395</v>
      </c>
      <c r="V1592" s="694">
        <v>41403</v>
      </c>
      <c r="W1592" s="695">
        <v>1830.7</v>
      </c>
    </row>
    <row r="1593" spans="21:23">
      <c r="U1593" s="693">
        <f t="shared" si="24"/>
        <v>41395</v>
      </c>
      <c r="V1593" s="694">
        <v>41404</v>
      </c>
      <c r="W1593" s="695">
        <v>1833.07</v>
      </c>
    </row>
    <row r="1594" spans="21:23">
      <c r="U1594" s="693">
        <f t="shared" si="24"/>
        <v>41395</v>
      </c>
      <c r="V1594" s="694">
        <v>41405</v>
      </c>
      <c r="W1594" s="695">
        <v>1834.83</v>
      </c>
    </row>
    <row r="1595" spans="21:23">
      <c r="U1595" s="693">
        <f t="shared" si="24"/>
        <v>41395</v>
      </c>
      <c r="V1595" s="694">
        <v>41406</v>
      </c>
      <c r="W1595" s="695">
        <v>1834.83</v>
      </c>
    </row>
    <row r="1596" spans="21:23">
      <c r="U1596" s="693">
        <f t="shared" si="24"/>
        <v>41395</v>
      </c>
      <c r="V1596" s="694">
        <v>41407</v>
      </c>
      <c r="W1596" s="695">
        <v>1834.83</v>
      </c>
    </row>
    <row r="1597" spans="21:23">
      <c r="U1597" s="693">
        <f t="shared" si="24"/>
        <v>41395</v>
      </c>
      <c r="V1597" s="694">
        <v>41408</v>
      </c>
      <c r="W1597" s="695">
        <v>1834.83</v>
      </c>
    </row>
    <row r="1598" spans="21:23">
      <c r="U1598" s="693">
        <f t="shared" si="24"/>
        <v>41395</v>
      </c>
      <c r="V1598" s="694">
        <v>41409</v>
      </c>
      <c r="W1598" s="695">
        <v>1838.63</v>
      </c>
    </row>
    <row r="1599" spans="21:23">
      <c r="U1599" s="693">
        <f t="shared" si="24"/>
        <v>41395</v>
      </c>
      <c r="V1599" s="694">
        <v>41410</v>
      </c>
      <c r="W1599" s="695">
        <v>1843.75</v>
      </c>
    </row>
    <row r="1600" spans="21:23">
      <c r="U1600" s="693">
        <f t="shared" si="24"/>
        <v>41395</v>
      </c>
      <c r="V1600" s="694">
        <v>41411</v>
      </c>
      <c r="W1600" s="695">
        <v>1838.82</v>
      </c>
    </row>
    <row r="1601" spans="21:23">
      <c r="U1601" s="693">
        <f t="shared" si="24"/>
        <v>41395</v>
      </c>
      <c r="V1601" s="694">
        <v>41412</v>
      </c>
      <c r="W1601" s="695">
        <v>1841.35</v>
      </c>
    </row>
    <row r="1602" spans="21:23">
      <c r="U1602" s="693">
        <f t="shared" si="24"/>
        <v>41395</v>
      </c>
      <c r="V1602" s="694">
        <v>41413</v>
      </c>
      <c r="W1602" s="695">
        <v>1841.35</v>
      </c>
    </row>
    <row r="1603" spans="21:23">
      <c r="U1603" s="693">
        <f t="shared" ref="U1603:U1666" si="25">+DATE(YEAR(V1603),MONTH(V1603),1)</f>
        <v>41395</v>
      </c>
      <c r="V1603" s="694">
        <v>41414</v>
      </c>
      <c r="W1603" s="695">
        <v>1841.35</v>
      </c>
    </row>
    <row r="1604" spans="21:23">
      <c r="U1604" s="693">
        <f t="shared" si="25"/>
        <v>41395</v>
      </c>
      <c r="V1604" s="694">
        <v>41415</v>
      </c>
      <c r="W1604" s="695">
        <v>1842.59</v>
      </c>
    </row>
    <row r="1605" spans="21:23">
      <c r="U1605" s="693">
        <f t="shared" si="25"/>
        <v>41395</v>
      </c>
      <c r="V1605" s="694">
        <v>41416</v>
      </c>
      <c r="W1605" s="695">
        <v>1846.76</v>
      </c>
    </row>
    <row r="1606" spans="21:23">
      <c r="U1606" s="693">
        <f t="shared" si="25"/>
        <v>41395</v>
      </c>
      <c r="V1606" s="694">
        <v>41417</v>
      </c>
      <c r="W1606" s="695">
        <v>1850.55</v>
      </c>
    </row>
    <row r="1607" spans="21:23">
      <c r="U1607" s="693">
        <f t="shared" si="25"/>
        <v>41395</v>
      </c>
      <c r="V1607" s="694">
        <v>41418</v>
      </c>
      <c r="W1607" s="695">
        <v>1864.02</v>
      </c>
    </row>
    <row r="1608" spans="21:23">
      <c r="U1608" s="693">
        <f t="shared" si="25"/>
        <v>41395</v>
      </c>
      <c r="V1608" s="694">
        <v>41419</v>
      </c>
      <c r="W1608" s="695">
        <v>1874.1</v>
      </c>
    </row>
    <row r="1609" spans="21:23">
      <c r="U1609" s="693">
        <f t="shared" si="25"/>
        <v>41395</v>
      </c>
      <c r="V1609" s="694">
        <v>41420</v>
      </c>
      <c r="W1609" s="695">
        <v>1874.1</v>
      </c>
    </row>
    <row r="1610" spans="21:23">
      <c r="U1610" s="693">
        <f t="shared" si="25"/>
        <v>41395</v>
      </c>
      <c r="V1610" s="694">
        <v>41421</v>
      </c>
      <c r="W1610" s="695">
        <v>1874.1</v>
      </c>
    </row>
    <row r="1611" spans="21:23">
      <c r="U1611" s="693">
        <f t="shared" si="25"/>
        <v>41395</v>
      </c>
      <c r="V1611" s="694">
        <v>41422</v>
      </c>
      <c r="W1611" s="695">
        <v>1874.1</v>
      </c>
    </row>
    <row r="1612" spans="21:23">
      <c r="U1612" s="693">
        <f t="shared" si="25"/>
        <v>41395</v>
      </c>
      <c r="V1612" s="694">
        <v>41423</v>
      </c>
      <c r="W1612" s="695">
        <v>1897.1</v>
      </c>
    </row>
    <row r="1613" spans="21:23">
      <c r="U1613" s="693">
        <f t="shared" si="25"/>
        <v>41395</v>
      </c>
      <c r="V1613" s="694">
        <v>41424</v>
      </c>
      <c r="W1613" s="695">
        <v>1894.13</v>
      </c>
    </row>
    <row r="1614" spans="21:23">
      <c r="U1614" s="693">
        <f t="shared" si="25"/>
        <v>41395</v>
      </c>
      <c r="V1614" s="694">
        <v>41425</v>
      </c>
      <c r="W1614" s="695">
        <v>1891.48</v>
      </c>
    </row>
    <row r="1615" spans="21:23">
      <c r="U1615" s="693">
        <f t="shared" si="25"/>
        <v>41426</v>
      </c>
      <c r="V1615" s="694">
        <v>41426</v>
      </c>
      <c r="W1615" s="695">
        <v>1907.76</v>
      </c>
    </row>
    <row r="1616" spans="21:23">
      <c r="U1616" s="693">
        <f t="shared" si="25"/>
        <v>41426</v>
      </c>
      <c r="V1616" s="694">
        <v>41427</v>
      </c>
      <c r="W1616" s="695">
        <v>1907.76</v>
      </c>
    </row>
    <row r="1617" spans="21:23">
      <c r="U1617" s="693">
        <f t="shared" si="25"/>
        <v>41426</v>
      </c>
      <c r="V1617" s="694">
        <v>41428</v>
      </c>
      <c r="W1617" s="695">
        <v>1907.76</v>
      </c>
    </row>
    <row r="1618" spans="21:23">
      <c r="U1618" s="693">
        <f t="shared" si="25"/>
        <v>41426</v>
      </c>
      <c r="V1618" s="694">
        <v>41429</v>
      </c>
      <c r="W1618" s="695">
        <v>1907.76</v>
      </c>
    </row>
    <row r="1619" spans="21:23">
      <c r="U1619" s="693">
        <f t="shared" si="25"/>
        <v>41426</v>
      </c>
      <c r="V1619" s="694">
        <v>41430</v>
      </c>
      <c r="W1619" s="695">
        <v>1894.4</v>
      </c>
    </row>
    <row r="1620" spans="21:23">
      <c r="U1620" s="693">
        <f t="shared" si="25"/>
        <v>41426</v>
      </c>
      <c r="V1620" s="694">
        <v>41431</v>
      </c>
      <c r="W1620" s="695">
        <v>1899.08</v>
      </c>
    </row>
    <row r="1621" spans="21:23">
      <c r="U1621" s="693">
        <f t="shared" si="25"/>
        <v>41426</v>
      </c>
      <c r="V1621" s="694">
        <v>41432</v>
      </c>
      <c r="W1621" s="695">
        <v>1907.88</v>
      </c>
    </row>
    <row r="1622" spans="21:23">
      <c r="U1622" s="693">
        <f t="shared" si="25"/>
        <v>41426</v>
      </c>
      <c r="V1622" s="694">
        <v>41433</v>
      </c>
      <c r="W1622" s="695">
        <v>1898.8</v>
      </c>
    </row>
    <row r="1623" spans="21:23">
      <c r="U1623" s="693">
        <f t="shared" si="25"/>
        <v>41426</v>
      </c>
      <c r="V1623" s="694">
        <v>41434</v>
      </c>
      <c r="W1623" s="695">
        <v>1898.8</v>
      </c>
    </row>
    <row r="1624" spans="21:23">
      <c r="U1624" s="693">
        <f t="shared" si="25"/>
        <v>41426</v>
      </c>
      <c r="V1624" s="694">
        <v>41435</v>
      </c>
      <c r="W1624" s="695">
        <v>1898.8</v>
      </c>
    </row>
    <row r="1625" spans="21:23">
      <c r="U1625" s="693">
        <f t="shared" si="25"/>
        <v>41426</v>
      </c>
      <c r="V1625" s="694">
        <v>41436</v>
      </c>
      <c r="W1625" s="695">
        <v>1898.8</v>
      </c>
    </row>
    <row r="1626" spans="21:23">
      <c r="U1626" s="693">
        <f t="shared" si="25"/>
        <v>41426</v>
      </c>
      <c r="V1626" s="694">
        <v>41437</v>
      </c>
      <c r="W1626" s="695">
        <v>1907.12</v>
      </c>
    </row>
    <row r="1627" spans="21:23">
      <c r="U1627" s="693">
        <f t="shared" si="25"/>
        <v>41426</v>
      </c>
      <c r="V1627" s="694">
        <v>41438</v>
      </c>
      <c r="W1627" s="695">
        <v>1897.53</v>
      </c>
    </row>
    <row r="1628" spans="21:23">
      <c r="U1628" s="693">
        <f t="shared" si="25"/>
        <v>41426</v>
      </c>
      <c r="V1628" s="694">
        <v>41439</v>
      </c>
      <c r="W1628" s="695">
        <v>1895.01</v>
      </c>
    </row>
    <row r="1629" spans="21:23">
      <c r="U1629" s="693">
        <f t="shared" si="25"/>
        <v>41426</v>
      </c>
      <c r="V1629" s="694">
        <v>41440</v>
      </c>
      <c r="W1629" s="695">
        <v>1882.38</v>
      </c>
    </row>
    <row r="1630" spans="21:23">
      <c r="U1630" s="693">
        <f t="shared" si="25"/>
        <v>41426</v>
      </c>
      <c r="V1630" s="694">
        <v>41441</v>
      </c>
      <c r="W1630" s="695">
        <v>1882.38</v>
      </c>
    </row>
    <row r="1631" spans="21:23">
      <c r="U1631" s="693">
        <f t="shared" si="25"/>
        <v>41426</v>
      </c>
      <c r="V1631" s="694">
        <v>41442</v>
      </c>
      <c r="W1631" s="695">
        <v>1882.38</v>
      </c>
    </row>
    <row r="1632" spans="21:23">
      <c r="U1632" s="693">
        <f t="shared" si="25"/>
        <v>41426</v>
      </c>
      <c r="V1632" s="694">
        <v>41443</v>
      </c>
      <c r="W1632" s="695">
        <v>1883.57</v>
      </c>
    </row>
    <row r="1633" spans="21:23">
      <c r="U1633" s="693">
        <f t="shared" si="25"/>
        <v>41426</v>
      </c>
      <c r="V1633" s="694">
        <v>41444</v>
      </c>
      <c r="W1633" s="695">
        <v>1902.47</v>
      </c>
    </row>
    <row r="1634" spans="21:23">
      <c r="U1634" s="693">
        <f t="shared" si="25"/>
        <v>41426</v>
      </c>
      <c r="V1634" s="694">
        <v>41445</v>
      </c>
      <c r="W1634" s="695">
        <v>1900.87</v>
      </c>
    </row>
    <row r="1635" spans="21:23">
      <c r="U1635" s="693">
        <f t="shared" si="25"/>
        <v>41426</v>
      </c>
      <c r="V1635" s="694">
        <v>41446</v>
      </c>
      <c r="W1635" s="695">
        <v>1937.26</v>
      </c>
    </row>
    <row r="1636" spans="21:23">
      <c r="U1636" s="693">
        <f t="shared" si="25"/>
        <v>41426</v>
      </c>
      <c r="V1636" s="694">
        <v>41447</v>
      </c>
      <c r="W1636" s="695">
        <v>1941.06</v>
      </c>
    </row>
    <row r="1637" spans="21:23">
      <c r="U1637" s="693">
        <f t="shared" si="25"/>
        <v>41426</v>
      </c>
      <c r="V1637" s="694">
        <v>41448</v>
      </c>
      <c r="W1637" s="695">
        <v>1941.06</v>
      </c>
    </row>
    <row r="1638" spans="21:23">
      <c r="U1638" s="693">
        <f t="shared" si="25"/>
        <v>41426</v>
      </c>
      <c r="V1638" s="694">
        <v>41449</v>
      </c>
      <c r="W1638" s="695">
        <v>1941.06</v>
      </c>
    </row>
    <row r="1639" spans="21:23">
      <c r="U1639" s="693">
        <f t="shared" si="25"/>
        <v>41426</v>
      </c>
      <c r="V1639" s="694">
        <v>41450</v>
      </c>
      <c r="W1639" s="695">
        <v>1942.97</v>
      </c>
    </row>
    <row r="1640" spans="21:23">
      <c r="U1640" s="693">
        <f t="shared" si="25"/>
        <v>41426</v>
      </c>
      <c r="V1640" s="694">
        <v>41451</v>
      </c>
      <c r="W1640" s="695">
        <v>1928.27</v>
      </c>
    </row>
    <row r="1641" spans="21:23">
      <c r="U1641" s="693">
        <f t="shared" si="25"/>
        <v>41426</v>
      </c>
      <c r="V1641" s="694">
        <v>41452</v>
      </c>
      <c r="W1641" s="695">
        <v>1921.86</v>
      </c>
    </row>
    <row r="1642" spans="21:23">
      <c r="U1642" s="693">
        <f t="shared" si="25"/>
        <v>41426</v>
      </c>
      <c r="V1642" s="694">
        <v>41453</v>
      </c>
      <c r="W1642" s="695">
        <v>1922.63</v>
      </c>
    </row>
    <row r="1643" spans="21:23">
      <c r="U1643" s="693">
        <f t="shared" si="25"/>
        <v>41426</v>
      </c>
      <c r="V1643" s="694">
        <v>41454</v>
      </c>
      <c r="W1643" s="695">
        <v>1929</v>
      </c>
    </row>
    <row r="1644" spans="21:23">
      <c r="U1644" s="693">
        <f t="shared" si="25"/>
        <v>41426</v>
      </c>
      <c r="V1644" s="694">
        <v>41455</v>
      </c>
      <c r="W1644" s="695">
        <v>1929</v>
      </c>
    </row>
    <row r="1645" spans="21:23">
      <c r="U1645" s="693">
        <f t="shared" si="25"/>
        <v>41456</v>
      </c>
      <c r="V1645" s="694">
        <v>41456</v>
      </c>
      <c r="W1645" s="695">
        <v>1929</v>
      </c>
    </row>
    <row r="1646" spans="21:23">
      <c r="U1646" s="693">
        <f t="shared" si="25"/>
        <v>41456</v>
      </c>
      <c r="V1646" s="694">
        <v>41457</v>
      </c>
      <c r="W1646" s="695">
        <v>1929</v>
      </c>
    </row>
    <row r="1647" spans="21:23">
      <c r="U1647" s="693">
        <f t="shared" si="25"/>
        <v>41456</v>
      </c>
      <c r="V1647" s="694">
        <v>41458</v>
      </c>
      <c r="W1647" s="695">
        <v>1919.42</v>
      </c>
    </row>
    <row r="1648" spans="21:23">
      <c r="U1648" s="693">
        <f t="shared" si="25"/>
        <v>41456</v>
      </c>
      <c r="V1648" s="694">
        <v>41459</v>
      </c>
      <c r="W1648" s="695">
        <v>1915.45</v>
      </c>
    </row>
    <row r="1649" spans="21:23">
      <c r="U1649" s="693">
        <f t="shared" si="25"/>
        <v>41456</v>
      </c>
      <c r="V1649" s="694">
        <v>41460</v>
      </c>
      <c r="W1649" s="695">
        <v>1915.45</v>
      </c>
    </row>
    <row r="1650" spans="21:23">
      <c r="U1650" s="693">
        <f t="shared" si="25"/>
        <v>41456</v>
      </c>
      <c r="V1650" s="694">
        <v>41461</v>
      </c>
      <c r="W1650" s="695">
        <v>1927.4</v>
      </c>
    </row>
    <row r="1651" spans="21:23">
      <c r="U1651" s="693">
        <f t="shared" si="25"/>
        <v>41456</v>
      </c>
      <c r="V1651" s="694">
        <v>41462</v>
      </c>
      <c r="W1651" s="695">
        <v>1927.4</v>
      </c>
    </row>
    <row r="1652" spans="21:23">
      <c r="U1652" s="693">
        <f t="shared" si="25"/>
        <v>41456</v>
      </c>
      <c r="V1652" s="694">
        <v>41463</v>
      </c>
      <c r="W1652" s="695">
        <v>1927.4</v>
      </c>
    </row>
    <row r="1653" spans="21:23">
      <c r="U1653" s="693">
        <f t="shared" si="25"/>
        <v>41456</v>
      </c>
      <c r="V1653" s="694">
        <v>41464</v>
      </c>
      <c r="W1653" s="695">
        <v>1926.84</v>
      </c>
    </row>
    <row r="1654" spans="21:23">
      <c r="U1654" s="693">
        <f t="shared" si="25"/>
        <v>41456</v>
      </c>
      <c r="V1654" s="694">
        <v>41465</v>
      </c>
      <c r="W1654" s="695">
        <v>1920.12</v>
      </c>
    </row>
    <row r="1655" spans="21:23">
      <c r="U1655" s="693">
        <f t="shared" si="25"/>
        <v>41456</v>
      </c>
      <c r="V1655" s="694">
        <v>41466</v>
      </c>
      <c r="W1655" s="695">
        <v>1920.24</v>
      </c>
    </row>
    <row r="1656" spans="21:23">
      <c r="U1656" s="693">
        <f t="shared" si="25"/>
        <v>41456</v>
      </c>
      <c r="V1656" s="694">
        <v>41467</v>
      </c>
      <c r="W1656" s="695">
        <v>1910.79</v>
      </c>
    </row>
    <row r="1657" spans="21:23">
      <c r="U1657" s="693">
        <f t="shared" si="25"/>
        <v>41456</v>
      </c>
      <c r="V1657" s="694">
        <v>41468</v>
      </c>
      <c r="W1657" s="695">
        <v>1905.25</v>
      </c>
    </row>
    <row r="1658" spans="21:23">
      <c r="U1658" s="693">
        <f t="shared" si="25"/>
        <v>41456</v>
      </c>
      <c r="V1658" s="694">
        <v>41469</v>
      </c>
      <c r="W1658" s="695">
        <v>1905.25</v>
      </c>
    </row>
    <row r="1659" spans="21:23">
      <c r="U1659" s="693">
        <f t="shared" si="25"/>
        <v>41456</v>
      </c>
      <c r="V1659" s="694">
        <v>41470</v>
      </c>
      <c r="W1659" s="695">
        <v>1905.25</v>
      </c>
    </row>
    <row r="1660" spans="21:23">
      <c r="U1660" s="693">
        <f t="shared" si="25"/>
        <v>41456</v>
      </c>
      <c r="V1660" s="694">
        <v>41471</v>
      </c>
      <c r="W1660" s="695">
        <v>1893.16</v>
      </c>
    </row>
    <row r="1661" spans="21:23">
      <c r="U1661" s="693">
        <f t="shared" si="25"/>
        <v>41456</v>
      </c>
      <c r="V1661" s="694">
        <v>41472</v>
      </c>
      <c r="W1661" s="695">
        <v>1878.42</v>
      </c>
    </row>
    <row r="1662" spans="21:23">
      <c r="U1662" s="693">
        <f t="shared" si="25"/>
        <v>41456</v>
      </c>
      <c r="V1662" s="694">
        <v>41473</v>
      </c>
      <c r="W1662" s="695">
        <v>1873.25</v>
      </c>
    </row>
    <row r="1663" spans="21:23">
      <c r="U1663" s="693">
        <f t="shared" si="25"/>
        <v>41456</v>
      </c>
      <c r="V1663" s="694">
        <v>41474</v>
      </c>
      <c r="W1663" s="695">
        <v>1883.29</v>
      </c>
    </row>
    <row r="1664" spans="21:23">
      <c r="U1664" s="693">
        <f t="shared" si="25"/>
        <v>41456</v>
      </c>
      <c r="V1664" s="694">
        <v>41475</v>
      </c>
      <c r="W1664" s="695">
        <v>1884.01</v>
      </c>
    </row>
    <row r="1665" spans="21:23">
      <c r="U1665" s="693">
        <f t="shared" si="25"/>
        <v>41456</v>
      </c>
      <c r="V1665" s="694">
        <v>41476</v>
      </c>
      <c r="W1665" s="695">
        <v>1884.01</v>
      </c>
    </row>
    <row r="1666" spans="21:23">
      <c r="U1666" s="693">
        <f t="shared" si="25"/>
        <v>41456</v>
      </c>
      <c r="V1666" s="694">
        <v>41477</v>
      </c>
      <c r="W1666" s="695">
        <v>1884.01</v>
      </c>
    </row>
    <row r="1667" spans="21:23">
      <c r="U1667" s="693">
        <f t="shared" ref="U1667:U1730" si="26">+DATE(YEAR(V1667),MONTH(V1667),1)</f>
        <v>41456</v>
      </c>
      <c r="V1667" s="694">
        <v>41478</v>
      </c>
      <c r="W1667" s="695">
        <v>1880.87</v>
      </c>
    </row>
    <row r="1668" spans="21:23">
      <c r="U1668" s="693">
        <f t="shared" si="26"/>
        <v>41456</v>
      </c>
      <c r="V1668" s="694">
        <v>41479</v>
      </c>
      <c r="W1668" s="695">
        <v>1886.06</v>
      </c>
    </row>
    <row r="1669" spans="21:23">
      <c r="U1669" s="693">
        <f t="shared" si="26"/>
        <v>41456</v>
      </c>
      <c r="V1669" s="694">
        <v>41480</v>
      </c>
      <c r="W1669" s="695">
        <v>1891.02</v>
      </c>
    </row>
    <row r="1670" spans="21:23">
      <c r="U1670" s="693">
        <f t="shared" si="26"/>
        <v>41456</v>
      </c>
      <c r="V1670" s="694">
        <v>41481</v>
      </c>
      <c r="W1670" s="695">
        <v>1887.4</v>
      </c>
    </row>
    <row r="1671" spans="21:23">
      <c r="U1671" s="693">
        <f t="shared" si="26"/>
        <v>41456</v>
      </c>
      <c r="V1671" s="694">
        <v>41482</v>
      </c>
      <c r="W1671" s="695">
        <v>1886.26</v>
      </c>
    </row>
    <row r="1672" spans="21:23">
      <c r="U1672" s="693">
        <f t="shared" si="26"/>
        <v>41456</v>
      </c>
      <c r="V1672" s="694">
        <v>41483</v>
      </c>
      <c r="W1672" s="695">
        <v>1886.26</v>
      </c>
    </row>
    <row r="1673" spans="21:23">
      <c r="U1673" s="693">
        <f t="shared" si="26"/>
        <v>41456</v>
      </c>
      <c r="V1673" s="694">
        <v>41484</v>
      </c>
      <c r="W1673" s="695">
        <v>1886.26</v>
      </c>
    </row>
    <row r="1674" spans="21:23">
      <c r="U1674" s="693">
        <f t="shared" si="26"/>
        <v>41456</v>
      </c>
      <c r="V1674" s="694">
        <v>41485</v>
      </c>
      <c r="W1674" s="695">
        <v>1888.95</v>
      </c>
    </row>
    <row r="1675" spans="21:23">
      <c r="U1675" s="693">
        <f t="shared" si="26"/>
        <v>41456</v>
      </c>
      <c r="V1675" s="694">
        <v>41486</v>
      </c>
      <c r="W1675" s="695">
        <v>1890.33</v>
      </c>
    </row>
    <row r="1676" spans="21:23">
      <c r="U1676" s="693">
        <f t="shared" si="26"/>
        <v>41487</v>
      </c>
      <c r="V1676" s="694">
        <v>41487</v>
      </c>
      <c r="W1676" s="695">
        <v>1896.15</v>
      </c>
    </row>
    <row r="1677" spans="21:23">
      <c r="U1677" s="693">
        <f t="shared" si="26"/>
        <v>41487</v>
      </c>
      <c r="V1677" s="694">
        <v>41488</v>
      </c>
      <c r="W1677" s="695">
        <v>1896.65</v>
      </c>
    </row>
    <row r="1678" spans="21:23">
      <c r="U1678" s="693">
        <f t="shared" si="26"/>
        <v>41487</v>
      </c>
      <c r="V1678" s="694">
        <v>41489</v>
      </c>
      <c r="W1678" s="695">
        <v>1891.67</v>
      </c>
    </row>
    <row r="1679" spans="21:23">
      <c r="U1679" s="693">
        <f t="shared" si="26"/>
        <v>41487</v>
      </c>
      <c r="V1679" s="694">
        <v>41490</v>
      </c>
      <c r="W1679" s="695">
        <v>1891.67</v>
      </c>
    </row>
    <row r="1680" spans="21:23">
      <c r="U1680" s="693">
        <f t="shared" si="26"/>
        <v>41487</v>
      </c>
      <c r="V1680" s="694">
        <v>41491</v>
      </c>
      <c r="W1680" s="695">
        <v>1891.67</v>
      </c>
    </row>
    <row r="1681" spans="21:23">
      <c r="U1681" s="693">
        <f t="shared" si="26"/>
        <v>41487</v>
      </c>
      <c r="V1681" s="694">
        <v>41492</v>
      </c>
      <c r="W1681" s="695">
        <v>1883.24</v>
      </c>
    </row>
    <row r="1682" spans="21:23">
      <c r="U1682" s="693">
        <f t="shared" si="26"/>
        <v>41487</v>
      </c>
      <c r="V1682" s="694">
        <v>41493</v>
      </c>
      <c r="W1682" s="695">
        <v>1882.01</v>
      </c>
    </row>
    <row r="1683" spans="21:23">
      <c r="U1683" s="693">
        <f t="shared" si="26"/>
        <v>41487</v>
      </c>
      <c r="V1683" s="694">
        <v>41494</v>
      </c>
      <c r="W1683" s="695">
        <v>1882.01</v>
      </c>
    </row>
    <row r="1684" spans="21:23">
      <c r="U1684" s="693">
        <f t="shared" si="26"/>
        <v>41487</v>
      </c>
      <c r="V1684" s="694">
        <v>41495</v>
      </c>
      <c r="W1684" s="695">
        <v>1877.23</v>
      </c>
    </row>
    <row r="1685" spans="21:23">
      <c r="U1685" s="693">
        <f t="shared" si="26"/>
        <v>41487</v>
      </c>
      <c r="V1685" s="694">
        <v>41496</v>
      </c>
      <c r="W1685" s="695">
        <v>1873.92</v>
      </c>
    </row>
    <row r="1686" spans="21:23">
      <c r="U1686" s="693">
        <f t="shared" si="26"/>
        <v>41487</v>
      </c>
      <c r="V1686" s="694">
        <v>41497</v>
      </c>
      <c r="W1686" s="695">
        <v>1873.92</v>
      </c>
    </row>
    <row r="1687" spans="21:23">
      <c r="U1687" s="693">
        <f t="shared" si="26"/>
        <v>41487</v>
      </c>
      <c r="V1687" s="694">
        <v>41498</v>
      </c>
      <c r="W1687" s="695">
        <v>1873.92</v>
      </c>
    </row>
    <row r="1688" spans="21:23">
      <c r="U1688" s="693">
        <f t="shared" si="26"/>
        <v>41487</v>
      </c>
      <c r="V1688" s="694">
        <v>41499</v>
      </c>
      <c r="W1688" s="695">
        <v>1868.9</v>
      </c>
    </row>
    <row r="1689" spans="21:23">
      <c r="U1689" s="693">
        <f t="shared" si="26"/>
        <v>41487</v>
      </c>
      <c r="V1689" s="694">
        <v>41500</v>
      </c>
      <c r="W1689" s="695">
        <v>1882.36</v>
      </c>
    </row>
    <row r="1690" spans="21:23">
      <c r="U1690" s="693">
        <f t="shared" si="26"/>
        <v>41487</v>
      </c>
      <c r="V1690" s="694">
        <v>41501</v>
      </c>
      <c r="W1690" s="695">
        <v>1883.15</v>
      </c>
    </row>
    <row r="1691" spans="21:23">
      <c r="U1691" s="693">
        <f t="shared" si="26"/>
        <v>41487</v>
      </c>
      <c r="V1691" s="694">
        <v>41502</v>
      </c>
      <c r="W1691" s="695">
        <v>1901.03</v>
      </c>
    </row>
    <row r="1692" spans="21:23">
      <c r="U1692" s="693">
        <f t="shared" si="26"/>
        <v>41487</v>
      </c>
      <c r="V1692" s="694">
        <v>41503</v>
      </c>
      <c r="W1692" s="695">
        <v>1907.06</v>
      </c>
    </row>
    <row r="1693" spans="21:23">
      <c r="U1693" s="693">
        <f t="shared" si="26"/>
        <v>41487</v>
      </c>
      <c r="V1693" s="694">
        <v>41504</v>
      </c>
      <c r="W1693" s="695">
        <v>1907.06</v>
      </c>
    </row>
    <row r="1694" spans="21:23">
      <c r="U1694" s="693">
        <f t="shared" si="26"/>
        <v>41487</v>
      </c>
      <c r="V1694" s="694">
        <v>41505</v>
      </c>
      <c r="W1694" s="695">
        <v>1907.06</v>
      </c>
    </row>
    <row r="1695" spans="21:23">
      <c r="U1695" s="693">
        <f t="shared" si="26"/>
        <v>41487</v>
      </c>
      <c r="V1695" s="694">
        <v>41506</v>
      </c>
      <c r="W1695" s="695">
        <v>1907.06</v>
      </c>
    </row>
    <row r="1696" spans="21:23">
      <c r="U1696" s="693">
        <f t="shared" si="26"/>
        <v>41487</v>
      </c>
      <c r="V1696" s="694">
        <v>41507</v>
      </c>
      <c r="W1696" s="695">
        <v>1922.73</v>
      </c>
    </row>
    <row r="1697" spans="21:23">
      <c r="U1697" s="693">
        <f t="shared" si="26"/>
        <v>41487</v>
      </c>
      <c r="V1697" s="694">
        <v>41508</v>
      </c>
      <c r="W1697" s="695">
        <v>1929.75</v>
      </c>
    </row>
    <row r="1698" spans="21:23">
      <c r="U1698" s="693">
        <f t="shared" si="26"/>
        <v>41487</v>
      </c>
      <c r="V1698" s="694">
        <v>41509</v>
      </c>
      <c r="W1698" s="695">
        <v>1921.99</v>
      </c>
    </row>
    <row r="1699" spans="21:23">
      <c r="U1699" s="693">
        <f t="shared" si="26"/>
        <v>41487</v>
      </c>
      <c r="V1699" s="694">
        <v>41510</v>
      </c>
      <c r="W1699" s="695">
        <v>1911.16</v>
      </c>
    </row>
    <row r="1700" spans="21:23">
      <c r="U1700" s="693">
        <f t="shared" si="26"/>
        <v>41487</v>
      </c>
      <c r="V1700" s="694">
        <v>41511</v>
      </c>
      <c r="W1700" s="695">
        <v>1911.16</v>
      </c>
    </row>
    <row r="1701" spans="21:23">
      <c r="U1701" s="693">
        <f t="shared" si="26"/>
        <v>41487</v>
      </c>
      <c r="V1701" s="694">
        <v>41512</v>
      </c>
      <c r="W1701" s="695">
        <v>1911.16</v>
      </c>
    </row>
    <row r="1702" spans="21:23">
      <c r="U1702" s="693">
        <f t="shared" si="26"/>
        <v>41487</v>
      </c>
      <c r="V1702" s="694">
        <v>41513</v>
      </c>
      <c r="W1702" s="695">
        <v>1922.96</v>
      </c>
    </row>
    <row r="1703" spans="21:23">
      <c r="U1703" s="693">
        <f t="shared" si="26"/>
        <v>41487</v>
      </c>
      <c r="V1703" s="694">
        <v>41514</v>
      </c>
      <c r="W1703" s="695">
        <v>1938.26</v>
      </c>
    </row>
    <row r="1704" spans="21:23">
      <c r="U1704" s="693">
        <f t="shared" si="26"/>
        <v>41487</v>
      </c>
      <c r="V1704" s="694">
        <v>41515</v>
      </c>
      <c r="W1704" s="695">
        <v>1939.85</v>
      </c>
    </row>
    <row r="1705" spans="21:23">
      <c r="U1705" s="693">
        <f t="shared" si="26"/>
        <v>41487</v>
      </c>
      <c r="V1705" s="694">
        <v>41516</v>
      </c>
      <c r="W1705" s="695">
        <v>1943.04</v>
      </c>
    </row>
    <row r="1706" spans="21:23">
      <c r="U1706" s="693">
        <f t="shared" si="26"/>
        <v>41487</v>
      </c>
      <c r="V1706" s="694">
        <v>41517</v>
      </c>
      <c r="W1706" s="695">
        <v>1935.43</v>
      </c>
    </row>
    <row r="1707" spans="21:23">
      <c r="U1707" s="693">
        <f t="shared" si="26"/>
        <v>41518</v>
      </c>
      <c r="V1707" s="694">
        <v>41518</v>
      </c>
      <c r="W1707" s="695">
        <v>1935.43</v>
      </c>
    </row>
    <row r="1708" spans="21:23">
      <c r="U1708" s="693">
        <f t="shared" si="26"/>
        <v>41518</v>
      </c>
      <c r="V1708" s="694">
        <v>41519</v>
      </c>
      <c r="W1708" s="695">
        <v>1935.43</v>
      </c>
    </row>
    <row r="1709" spans="21:23">
      <c r="U1709" s="693">
        <f t="shared" si="26"/>
        <v>41518</v>
      </c>
      <c r="V1709" s="694">
        <v>41520</v>
      </c>
      <c r="W1709" s="695">
        <v>1935.43</v>
      </c>
    </row>
    <row r="1710" spans="21:23">
      <c r="U1710" s="693">
        <f t="shared" si="26"/>
        <v>41518</v>
      </c>
      <c r="V1710" s="694">
        <v>41521</v>
      </c>
      <c r="W1710" s="695">
        <v>1946.28</v>
      </c>
    </row>
    <row r="1711" spans="21:23">
      <c r="U1711" s="693">
        <f t="shared" si="26"/>
        <v>41518</v>
      </c>
      <c r="V1711" s="694">
        <v>41522</v>
      </c>
      <c r="W1711" s="695">
        <v>1938.99</v>
      </c>
    </row>
    <row r="1712" spans="21:23">
      <c r="U1712" s="693">
        <f t="shared" si="26"/>
        <v>41518</v>
      </c>
      <c r="V1712" s="694">
        <v>41523</v>
      </c>
      <c r="W1712" s="695">
        <v>1952.11</v>
      </c>
    </row>
    <row r="1713" spans="21:23">
      <c r="U1713" s="693">
        <f t="shared" si="26"/>
        <v>41518</v>
      </c>
      <c r="V1713" s="694">
        <v>41524</v>
      </c>
      <c r="W1713" s="695">
        <v>1947.99</v>
      </c>
    </row>
    <row r="1714" spans="21:23">
      <c r="U1714" s="693">
        <f t="shared" si="26"/>
        <v>41518</v>
      </c>
      <c r="V1714" s="694">
        <v>41525</v>
      </c>
      <c r="W1714" s="695">
        <v>1947.99</v>
      </c>
    </row>
    <row r="1715" spans="21:23">
      <c r="U1715" s="693">
        <f t="shared" si="26"/>
        <v>41518</v>
      </c>
      <c r="V1715" s="694">
        <v>41526</v>
      </c>
      <c r="W1715" s="695">
        <v>1947.99</v>
      </c>
    </row>
    <row r="1716" spans="21:23">
      <c r="U1716" s="693">
        <f t="shared" si="26"/>
        <v>41518</v>
      </c>
      <c r="V1716" s="694">
        <v>41527</v>
      </c>
      <c r="W1716" s="695">
        <v>1946.06</v>
      </c>
    </row>
    <row r="1717" spans="21:23">
      <c r="U1717" s="693">
        <f t="shared" si="26"/>
        <v>41518</v>
      </c>
      <c r="V1717" s="694">
        <v>41528</v>
      </c>
      <c r="W1717" s="695">
        <v>1935.55</v>
      </c>
    </row>
    <row r="1718" spans="21:23">
      <c r="U1718" s="693">
        <f t="shared" si="26"/>
        <v>41518</v>
      </c>
      <c r="V1718" s="694">
        <v>41529</v>
      </c>
      <c r="W1718" s="695">
        <v>1923.64</v>
      </c>
    </row>
    <row r="1719" spans="21:23">
      <c r="U1719" s="693">
        <f t="shared" si="26"/>
        <v>41518</v>
      </c>
      <c r="V1719" s="694">
        <v>41530</v>
      </c>
      <c r="W1719" s="695">
        <v>1919.25</v>
      </c>
    </row>
    <row r="1720" spans="21:23">
      <c r="U1720" s="693">
        <f t="shared" si="26"/>
        <v>41518</v>
      </c>
      <c r="V1720" s="694">
        <v>41531</v>
      </c>
      <c r="W1720" s="695">
        <v>1919.54</v>
      </c>
    </row>
    <row r="1721" spans="21:23">
      <c r="U1721" s="693">
        <f t="shared" si="26"/>
        <v>41518</v>
      </c>
      <c r="V1721" s="694">
        <v>41532</v>
      </c>
      <c r="W1721" s="695">
        <v>1919.54</v>
      </c>
    </row>
    <row r="1722" spans="21:23">
      <c r="U1722" s="693">
        <f t="shared" si="26"/>
        <v>41518</v>
      </c>
      <c r="V1722" s="694">
        <v>41533</v>
      </c>
      <c r="W1722" s="695">
        <v>1919.54</v>
      </c>
    </row>
    <row r="1723" spans="21:23">
      <c r="U1723" s="693">
        <f t="shared" si="26"/>
        <v>41518</v>
      </c>
      <c r="V1723" s="694">
        <v>41534</v>
      </c>
      <c r="W1723" s="695">
        <v>1917.03</v>
      </c>
    </row>
    <row r="1724" spans="21:23">
      <c r="U1724" s="693">
        <f t="shared" si="26"/>
        <v>41518</v>
      </c>
      <c r="V1724" s="694">
        <v>41535</v>
      </c>
      <c r="W1724" s="695">
        <v>1914.12</v>
      </c>
    </row>
    <row r="1725" spans="21:23">
      <c r="U1725" s="693">
        <f t="shared" si="26"/>
        <v>41518</v>
      </c>
      <c r="V1725" s="694">
        <v>41536</v>
      </c>
      <c r="W1725" s="695">
        <v>1911.3</v>
      </c>
    </row>
    <row r="1726" spans="21:23">
      <c r="U1726" s="693">
        <f t="shared" si="26"/>
        <v>41518</v>
      </c>
      <c r="V1726" s="694">
        <v>41537</v>
      </c>
      <c r="W1726" s="695">
        <v>1887.3</v>
      </c>
    </row>
    <row r="1727" spans="21:23">
      <c r="U1727" s="693">
        <f t="shared" si="26"/>
        <v>41518</v>
      </c>
      <c r="V1727" s="694">
        <v>41538</v>
      </c>
      <c r="W1727" s="695">
        <v>1889.12</v>
      </c>
    </row>
    <row r="1728" spans="21:23">
      <c r="U1728" s="693">
        <f t="shared" si="26"/>
        <v>41518</v>
      </c>
      <c r="V1728" s="694">
        <v>41539</v>
      </c>
      <c r="W1728" s="695">
        <v>1889.12</v>
      </c>
    </row>
    <row r="1729" spans="21:23">
      <c r="U1729" s="693">
        <f t="shared" si="26"/>
        <v>41518</v>
      </c>
      <c r="V1729" s="694">
        <v>41540</v>
      </c>
      <c r="W1729" s="695">
        <v>1889.12</v>
      </c>
    </row>
    <row r="1730" spans="21:23">
      <c r="U1730" s="693">
        <f t="shared" si="26"/>
        <v>41518</v>
      </c>
      <c r="V1730" s="694">
        <v>41541</v>
      </c>
      <c r="W1730" s="695">
        <v>1892.89</v>
      </c>
    </row>
    <row r="1731" spans="21:23">
      <c r="U1731" s="693">
        <f t="shared" ref="U1731:U1794" si="27">+DATE(YEAR(V1731),MONTH(V1731),1)</f>
        <v>41518</v>
      </c>
      <c r="V1731" s="694">
        <v>41542</v>
      </c>
      <c r="W1731" s="695">
        <v>1888.14</v>
      </c>
    </row>
    <row r="1732" spans="21:23">
      <c r="U1732" s="693">
        <f t="shared" si="27"/>
        <v>41518</v>
      </c>
      <c r="V1732" s="694">
        <v>41543</v>
      </c>
      <c r="W1732" s="695">
        <v>1893.42</v>
      </c>
    </row>
    <row r="1733" spans="21:23">
      <c r="U1733" s="693">
        <f t="shared" si="27"/>
        <v>41518</v>
      </c>
      <c r="V1733" s="694">
        <v>41544</v>
      </c>
      <c r="W1733" s="695">
        <v>1899.1</v>
      </c>
    </row>
    <row r="1734" spans="21:23">
      <c r="U1734" s="693">
        <f t="shared" si="27"/>
        <v>41518</v>
      </c>
      <c r="V1734" s="694">
        <v>41545</v>
      </c>
      <c r="W1734" s="695">
        <v>1914.65</v>
      </c>
    </row>
    <row r="1735" spans="21:23">
      <c r="U1735" s="693">
        <f t="shared" si="27"/>
        <v>41518</v>
      </c>
      <c r="V1735" s="694">
        <v>41546</v>
      </c>
      <c r="W1735" s="695">
        <v>1914.65</v>
      </c>
    </row>
    <row r="1736" spans="21:23">
      <c r="U1736" s="693">
        <f t="shared" si="27"/>
        <v>41518</v>
      </c>
      <c r="V1736" s="694">
        <v>41547</v>
      </c>
      <c r="W1736" s="695">
        <v>1914.65</v>
      </c>
    </row>
    <row r="1737" spans="21:23">
      <c r="U1737" s="693">
        <f t="shared" si="27"/>
        <v>41548</v>
      </c>
      <c r="V1737" s="694">
        <v>41548</v>
      </c>
      <c r="W1737" s="695">
        <v>1908.29</v>
      </c>
    </row>
    <row r="1738" spans="21:23">
      <c r="U1738" s="693">
        <f t="shared" si="27"/>
        <v>41548</v>
      </c>
      <c r="V1738" s="694">
        <v>41549</v>
      </c>
      <c r="W1738" s="695">
        <v>1893.77</v>
      </c>
    </row>
    <row r="1739" spans="21:23">
      <c r="U1739" s="693">
        <f t="shared" si="27"/>
        <v>41548</v>
      </c>
      <c r="V1739" s="694">
        <v>41550</v>
      </c>
      <c r="W1739" s="695">
        <v>1884.97</v>
      </c>
    </row>
    <row r="1740" spans="21:23">
      <c r="U1740" s="693">
        <f t="shared" si="27"/>
        <v>41548</v>
      </c>
      <c r="V1740" s="694">
        <v>41551</v>
      </c>
      <c r="W1740" s="695">
        <v>1889.95</v>
      </c>
    </row>
    <row r="1741" spans="21:23">
      <c r="U1741" s="693">
        <f t="shared" si="27"/>
        <v>41548</v>
      </c>
      <c r="V1741" s="694">
        <v>41552</v>
      </c>
      <c r="W1741" s="695">
        <v>1886.78</v>
      </c>
    </row>
    <row r="1742" spans="21:23">
      <c r="U1742" s="693">
        <f t="shared" si="27"/>
        <v>41548</v>
      </c>
      <c r="V1742" s="694">
        <v>41553</v>
      </c>
      <c r="W1742" s="695">
        <v>1886.78</v>
      </c>
    </row>
    <row r="1743" spans="21:23">
      <c r="U1743" s="693">
        <f t="shared" si="27"/>
        <v>41548</v>
      </c>
      <c r="V1743" s="694">
        <v>41554</v>
      </c>
      <c r="W1743" s="695">
        <v>1886.78</v>
      </c>
    </row>
    <row r="1744" spans="21:23">
      <c r="U1744" s="693">
        <f t="shared" si="27"/>
        <v>41548</v>
      </c>
      <c r="V1744" s="694">
        <v>41555</v>
      </c>
      <c r="W1744" s="695">
        <v>1885.19</v>
      </c>
    </row>
    <row r="1745" spans="21:23">
      <c r="U1745" s="693">
        <f t="shared" si="27"/>
        <v>41548</v>
      </c>
      <c r="V1745" s="694">
        <v>41556</v>
      </c>
      <c r="W1745" s="695">
        <v>1889.17</v>
      </c>
    </row>
    <row r="1746" spans="21:23">
      <c r="U1746" s="693">
        <f t="shared" si="27"/>
        <v>41548</v>
      </c>
      <c r="V1746" s="694">
        <v>41557</v>
      </c>
      <c r="W1746" s="695">
        <v>1894.06</v>
      </c>
    </row>
    <row r="1747" spans="21:23">
      <c r="U1747" s="693">
        <f t="shared" si="27"/>
        <v>41548</v>
      </c>
      <c r="V1747" s="694">
        <v>41558</v>
      </c>
      <c r="W1747" s="695">
        <v>1885.84</v>
      </c>
    </row>
    <row r="1748" spans="21:23">
      <c r="U1748" s="693">
        <f t="shared" si="27"/>
        <v>41548</v>
      </c>
      <c r="V1748" s="694">
        <v>41559</v>
      </c>
      <c r="W1748" s="695">
        <v>1883.65</v>
      </c>
    </row>
    <row r="1749" spans="21:23">
      <c r="U1749" s="693">
        <f t="shared" si="27"/>
        <v>41548</v>
      </c>
      <c r="V1749" s="694">
        <v>41560</v>
      </c>
      <c r="W1749" s="695">
        <v>1883.65</v>
      </c>
    </row>
    <row r="1750" spans="21:23">
      <c r="U1750" s="693">
        <f t="shared" si="27"/>
        <v>41548</v>
      </c>
      <c r="V1750" s="694">
        <v>41561</v>
      </c>
      <c r="W1750" s="695">
        <v>1883.65</v>
      </c>
    </row>
    <row r="1751" spans="21:23">
      <c r="U1751" s="693">
        <f t="shared" si="27"/>
        <v>41548</v>
      </c>
      <c r="V1751" s="694">
        <v>41562</v>
      </c>
      <c r="W1751" s="695">
        <v>1883.65</v>
      </c>
    </row>
    <row r="1752" spans="21:23">
      <c r="U1752" s="693">
        <f t="shared" si="27"/>
        <v>41548</v>
      </c>
      <c r="V1752" s="694">
        <v>41563</v>
      </c>
      <c r="W1752" s="695">
        <v>1883.7</v>
      </c>
    </row>
    <row r="1753" spans="21:23">
      <c r="U1753" s="693">
        <f t="shared" si="27"/>
        <v>41548</v>
      </c>
      <c r="V1753" s="694">
        <v>41564</v>
      </c>
      <c r="W1753" s="695">
        <v>1880.91</v>
      </c>
    </row>
    <row r="1754" spans="21:23">
      <c r="U1754" s="693">
        <f t="shared" si="27"/>
        <v>41548</v>
      </c>
      <c r="V1754" s="694">
        <v>41565</v>
      </c>
      <c r="W1754" s="695">
        <v>1879.48</v>
      </c>
    </row>
    <row r="1755" spans="21:23">
      <c r="U1755" s="693">
        <f t="shared" si="27"/>
        <v>41548</v>
      </c>
      <c r="V1755" s="694">
        <v>41566</v>
      </c>
      <c r="W1755" s="695">
        <v>1879.88</v>
      </c>
    </row>
    <row r="1756" spans="21:23">
      <c r="U1756" s="693">
        <f t="shared" si="27"/>
        <v>41548</v>
      </c>
      <c r="V1756" s="694">
        <v>41567</v>
      </c>
      <c r="W1756" s="695">
        <v>1879.88</v>
      </c>
    </row>
    <row r="1757" spans="21:23">
      <c r="U1757" s="693">
        <f t="shared" si="27"/>
        <v>41548</v>
      </c>
      <c r="V1757" s="694">
        <v>41568</v>
      </c>
      <c r="W1757" s="695">
        <v>1879.88</v>
      </c>
    </row>
    <row r="1758" spans="21:23">
      <c r="U1758" s="693">
        <f t="shared" si="27"/>
        <v>41548</v>
      </c>
      <c r="V1758" s="694">
        <v>41569</v>
      </c>
      <c r="W1758" s="695">
        <v>1885.52</v>
      </c>
    </row>
    <row r="1759" spans="21:23">
      <c r="U1759" s="693">
        <f t="shared" si="27"/>
        <v>41548</v>
      </c>
      <c r="V1759" s="694">
        <v>41570</v>
      </c>
      <c r="W1759" s="695">
        <v>1879.46</v>
      </c>
    </row>
    <row r="1760" spans="21:23">
      <c r="U1760" s="693">
        <f t="shared" si="27"/>
        <v>41548</v>
      </c>
      <c r="V1760" s="694">
        <v>41571</v>
      </c>
      <c r="W1760" s="695">
        <v>1883.14</v>
      </c>
    </row>
    <row r="1761" spans="21:23">
      <c r="U1761" s="693">
        <f t="shared" si="27"/>
        <v>41548</v>
      </c>
      <c r="V1761" s="694">
        <v>41572</v>
      </c>
      <c r="W1761" s="695">
        <v>1882.11</v>
      </c>
    </row>
    <row r="1762" spans="21:23">
      <c r="U1762" s="693">
        <f t="shared" si="27"/>
        <v>41548</v>
      </c>
      <c r="V1762" s="694">
        <v>41573</v>
      </c>
      <c r="W1762" s="695">
        <v>1882.34</v>
      </c>
    </row>
    <row r="1763" spans="21:23">
      <c r="U1763" s="693">
        <f t="shared" si="27"/>
        <v>41548</v>
      </c>
      <c r="V1763" s="694">
        <v>41574</v>
      </c>
      <c r="W1763" s="695">
        <v>1882.34</v>
      </c>
    </row>
    <row r="1764" spans="21:23">
      <c r="U1764" s="693">
        <f t="shared" si="27"/>
        <v>41548</v>
      </c>
      <c r="V1764" s="694">
        <v>41575</v>
      </c>
      <c r="W1764" s="695">
        <v>1882.34</v>
      </c>
    </row>
    <row r="1765" spans="21:23">
      <c r="U1765" s="693">
        <f t="shared" si="27"/>
        <v>41548</v>
      </c>
      <c r="V1765" s="694">
        <v>41576</v>
      </c>
      <c r="W1765" s="695">
        <v>1884.43</v>
      </c>
    </row>
    <row r="1766" spans="21:23">
      <c r="U1766" s="693">
        <f t="shared" si="27"/>
        <v>41548</v>
      </c>
      <c r="V1766" s="694">
        <v>41577</v>
      </c>
      <c r="W1766" s="695">
        <v>1883.42</v>
      </c>
    </row>
    <row r="1767" spans="21:23">
      <c r="U1767" s="693">
        <f t="shared" si="27"/>
        <v>41548</v>
      </c>
      <c r="V1767" s="694">
        <v>41578</v>
      </c>
      <c r="W1767" s="695">
        <v>1884.06</v>
      </c>
    </row>
    <row r="1768" spans="21:23">
      <c r="U1768" s="693">
        <f t="shared" si="27"/>
        <v>41579</v>
      </c>
      <c r="V1768" s="694">
        <v>41579</v>
      </c>
      <c r="W1768" s="695">
        <v>1889.16</v>
      </c>
    </row>
    <row r="1769" spans="21:23">
      <c r="U1769" s="693">
        <f t="shared" si="27"/>
        <v>41579</v>
      </c>
      <c r="V1769" s="694">
        <v>41580</v>
      </c>
      <c r="W1769" s="695">
        <v>1901.22</v>
      </c>
    </row>
    <row r="1770" spans="21:23">
      <c r="U1770" s="693">
        <f t="shared" si="27"/>
        <v>41579</v>
      </c>
      <c r="V1770" s="694">
        <v>41581</v>
      </c>
      <c r="W1770" s="695">
        <v>1901.22</v>
      </c>
    </row>
    <row r="1771" spans="21:23">
      <c r="U1771" s="693">
        <f t="shared" si="27"/>
        <v>41579</v>
      </c>
      <c r="V1771" s="694">
        <v>41582</v>
      </c>
      <c r="W1771" s="695">
        <v>1901.22</v>
      </c>
    </row>
    <row r="1772" spans="21:23">
      <c r="U1772" s="693">
        <f t="shared" si="27"/>
        <v>41579</v>
      </c>
      <c r="V1772" s="694">
        <v>41583</v>
      </c>
      <c r="W1772" s="695">
        <v>1901.22</v>
      </c>
    </row>
    <row r="1773" spans="21:23">
      <c r="U1773" s="693">
        <f t="shared" si="27"/>
        <v>41579</v>
      </c>
      <c r="V1773" s="694">
        <v>41584</v>
      </c>
      <c r="W1773" s="695">
        <v>1916.22</v>
      </c>
    </row>
    <row r="1774" spans="21:23">
      <c r="U1774" s="693">
        <f t="shared" si="27"/>
        <v>41579</v>
      </c>
      <c r="V1774" s="694">
        <v>41585</v>
      </c>
      <c r="W1774" s="695">
        <v>1916.8</v>
      </c>
    </row>
    <row r="1775" spans="21:23">
      <c r="U1775" s="693">
        <f t="shared" si="27"/>
        <v>41579</v>
      </c>
      <c r="V1775" s="694">
        <v>41586</v>
      </c>
      <c r="W1775" s="695">
        <v>1924.87</v>
      </c>
    </row>
    <row r="1776" spans="21:23">
      <c r="U1776" s="693">
        <f t="shared" si="27"/>
        <v>41579</v>
      </c>
      <c r="V1776" s="694">
        <v>41587</v>
      </c>
      <c r="W1776" s="695">
        <v>1932.77</v>
      </c>
    </row>
    <row r="1777" spans="21:23">
      <c r="U1777" s="693">
        <f t="shared" si="27"/>
        <v>41579</v>
      </c>
      <c r="V1777" s="694">
        <v>41588</v>
      </c>
      <c r="W1777" s="695">
        <v>1932.77</v>
      </c>
    </row>
    <row r="1778" spans="21:23">
      <c r="U1778" s="693">
        <f t="shared" si="27"/>
        <v>41579</v>
      </c>
      <c r="V1778" s="694">
        <v>41589</v>
      </c>
      <c r="W1778" s="695">
        <v>1932.77</v>
      </c>
    </row>
    <row r="1779" spans="21:23">
      <c r="U1779" s="693">
        <f t="shared" si="27"/>
        <v>41579</v>
      </c>
      <c r="V1779" s="694">
        <v>41590</v>
      </c>
      <c r="W1779" s="695">
        <v>1932.77</v>
      </c>
    </row>
    <row r="1780" spans="21:23">
      <c r="U1780" s="693">
        <f t="shared" si="27"/>
        <v>41579</v>
      </c>
      <c r="V1780" s="694">
        <v>41591</v>
      </c>
      <c r="W1780" s="695">
        <v>1928.96</v>
      </c>
    </row>
    <row r="1781" spans="21:23">
      <c r="U1781" s="693">
        <f t="shared" si="27"/>
        <v>41579</v>
      </c>
      <c r="V1781" s="694">
        <v>41592</v>
      </c>
      <c r="W1781" s="695">
        <v>1932.03</v>
      </c>
    </row>
    <row r="1782" spans="21:23">
      <c r="U1782" s="693">
        <f t="shared" si="27"/>
        <v>41579</v>
      </c>
      <c r="V1782" s="694">
        <v>41593</v>
      </c>
      <c r="W1782" s="695">
        <v>1929.24</v>
      </c>
    </row>
    <row r="1783" spans="21:23">
      <c r="U1783" s="693">
        <f t="shared" si="27"/>
        <v>41579</v>
      </c>
      <c r="V1783" s="694">
        <v>41594</v>
      </c>
      <c r="W1783" s="695">
        <v>1919.89</v>
      </c>
    </row>
    <row r="1784" spans="21:23">
      <c r="U1784" s="693">
        <f t="shared" si="27"/>
        <v>41579</v>
      </c>
      <c r="V1784" s="694">
        <v>41595</v>
      </c>
      <c r="W1784" s="695">
        <v>1919.89</v>
      </c>
    </row>
    <row r="1785" spans="21:23">
      <c r="U1785" s="693">
        <f t="shared" si="27"/>
        <v>41579</v>
      </c>
      <c r="V1785" s="694">
        <v>41596</v>
      </c>
      <c r="W1785" s="695">
        <v>1919.89</v>
      </c>
    </row>
    <row r="1786" spans="21:23">
      <c r="U1786" s="693">
        <f t="shared" si="27"/>
        <v>41579</v>
      </c>
      <c r="V1786" s="694">
        <v>41597</v>
      </c>
      <c r="W1786" s="695">
        <v>1915.37</v>
      </c>
    </row>
    <row r="1787" spans="21:23">
      <c r="U1787" s="693">
        <f t="shared" si="27"/>
        <v>41579</v>
      </c>
      <c r="V1787" s="694">
        <v>41598</v>
      </c>
      <c r="W1787" s="695">
        <v>1919.2</v>
      </c>
    </row>
    <row r="1788" spans="21:23">
      <c r="U1788" s="693">
        <f t="shared" si="27"/>
        <v>41579</v>
      </c>
      <c r="V1788" s="694">
        <v>41599</v>
      </c>
      <c r="W1788" s="695">
        <v>1923.19</v>
      </c>
    </row>
    <row r="1789" spans="21:23">
      <c r="U1789" s="693">
        <f t="shared" si="27"/>
        <v>41579</v>
      </c>
      <c r="V1789" s="694">
        <v>41600</v>
      </c>
      <c r="W1789" s="695">
        <v>1932.42</v>
      </c>
    </row>
    <row r="1790" spans="21:23">
      <c r="U1790" s="693">
        <f t="shared" si="27"/>
        <v>41579</v>
      </c>
      <c r="V1790" s="694">
        <v>41601</v>
      </c>
      <c r="W1790" s="695">
        <v>1929.13</v>
      </c>
    </row>
    <row r="1791" spans="21:23">
      <c r="U1791" s="693">
        <f t="shared" si="27"/>
        <v>41579</v>
      </c>
      <c r="V1791" s="694">
        <v>41602</v>
      </c>
      <c r="W1791" s="695">
        <v>1929.13</v>
      </c>
    </row>
    <row r="1792" spans="21:23">
      <c r="U1792" s="693">
        <f t="shared" si="27"/>
        <v>41579</v>
      </c>
      <c r="V1792" s="694">
        <v>41603</v>
      </c>
      <c r="W1792" s="695">
        <v>1929.13</v>
      </c>
    </row>
    <row r="1793" spans="21:23">
      <c r="U1793" s="693">
        <f t="shared" si="27"/>
        <v>41579</v>
      </c>
      <c r="V1793" s="694">
        <v>41604</v>
      </c>
      <c r="W1793" s="695">
        <v>1926.99</v>
      </c>
    </row>
    <row r="1794" spans="21:23">
      <c r="U1794" s="693">
        <f t="shared" si="27"/>
        <v>41579</v>
      </c>
      <c r="V1794" s="694">
        <v>41605</v>
      </c>
      <c r="W1794" s="695">
        <v>1926.74</v>
      </c>
    </row>
    <row r="1795" spans="21:23">
      <c r="U1795" s="693">
        <f t="shared" ref="U1795:U1858" si="28">+DATE(YEAR(V1795),MONTH(V1795),1)</f>
        <v>41579</v>
      </c>
      <c r="V1795" s="694">
        <v>41606</v>
      </c>
      <c r="W1795" s="695">
        <v>1928.25</v>
      </c>
    </row>
    <row r="1796" spans="21:23">
      <c r="U1796" s="693">
        <f t="shared" si="28"/>
        <v>41579</v>
      </c>
      <c r="V1796" s="694">
        <v>41607</v>
      </c>
      <c r="W1796" s="695">
        <v>1928.25</v>
      </c>
    </row>
    <row r="1797" spans="21:23">
      <c r="U1797" s="693">
        <f t="shared" si="28"/>
        <v>41579</v>
      </c>
      <c r="V1797" s="694">
        <v>41608</v>
      </c>
      <c r="W1797" s="695">
        <v>1931.88</v>
      </c>
    </row>
    <row r="1798" spans="21:23">
      <c r="U1798" s="693">
        <f t="shared" si="28"/>
        <v>41609</v>
      </c>
      <c r="V1798" s="694">
        <v>41609</v>
      </c>
      <c r="W1798" s="695">
        <v>1931.88</v>
      </c>
    </row>
    <row r="1799" spans="21:23">
      <c r="U1799" s="693">
        <f t="shared" si="28"/>
        <v>41609</v>
      </c>
      <c r="V1799" s="694">
        <v>41610</v>
      </c>
      <c r="W1799" s="695">
        <v>1931.88</v>
      </c>
    </row>
    <row r="1800" spans="21:23">
      <c r="U1800" s="693">
        <f t="shared" si="28"/>
        <v>41609</v>
      </c>
      <c r="V1800" s="694">
        <v>41611</v>
      </c>
      <c r="W1800" s="695">
        <v>1934.16</v>
      </c>
    </row>
    <row r="1801" spans="21:23">
      <c r="U1801" s="693">
        <f t="shared" si="28"/>
        <v>41609</v>
      </c>
      <c r="V1801" s="694">
        <v>41612</v>
      </c>
      <c r="W1801" s="695">
        <v>1941.01</v>
      </c>
    </row>
    <row r="1802" spans="21:23">
      <c r="U1802" s="693">
        <f t="shared" si="28"/>
        <v>41609</v>
      </c>
      <c r="V1802" s="694">
        <v>41613</v>
      </c>
      <c r="W1802" s="695">
        <v>1948.48</v>
      </c>
    </row>
    <row r="1803" spans="21:23">
      <c r="U1803" s="693">
        <f t="shared" si="28"/>
        <v>41609</v>
      </c>
      <c r="V1803" s="694">
        <v>41614</v>
      </c>
      <c r="W1803" s="695">
        <v>1940.26</v>
      </c>
    </row>
    <row r="1804" spans="21:23">
      <c r="U1804" s="693">
        <f t="shared" si="28"/>
        <v>41609</v>
      </c>
      <c r="V1804" s="694">
        <v>41615</v>
      </c>
      <c r="W1804" s="695">
        <v>1936.33</v>
      </c>
    </row>
    <row r="1805" spans="21:23">
      <c r="U1805" s="693">
        <f t="shared" si="28"/>
        <v>41609</v>
      </c>
      <c r="V1805" s="694">
        <v>41616</v>
      </c>
      <c r="W1805" s="695">
        <v>1936.33</v>
      </c>
    </row>
    <row r="1806" spans="21:23">
      <c r="U1806" s="693">
        <f t="shared" si="28"/>
        <v>41609</v>
      </c>
      <c r="V1806" s="694">
        <v>41617</v>
      </c>
      <c r="W1806" s="695">
        <v>1936.33</v>
      </c>
    </row>
    <row r="1807" spans="21:23">
      <c r="U1807" s="693">
        <f t="shared" si="28"/>
        <v>41609</v>
      </c>
      <c r="V1807" s="694">
        <v>41618</v>
      </c>
      <c r="W1807" s="695">
        <v>1932.71</v>
      </c>
    </row>
    <row r="1808" spans="21:23">
      <c r="U1808" s="693">
        <f t="shared" si="28"/>
        <v>41609</v>
      </c>
      <c r="V1808" s="694">
        <v>41619</v>
      </c>
      <c r="W1808" s="695">
        <v>1933.52</v>
      </c>
    </row>
    <row r="1809" spans="21:23">
      <c r="U1809" s="693">
        <f t="shared" si="28"/>
        <v>41609</v>
      </c>
      <c r="V1809" s="694">
        <v>41620</v>
      </c>
      <c r="W1809" s="695">
        <v>1935.61</v>
      </c>
    </row>
    <row r="1810" spans="21:23">
      <c r="U1810" s="693">
        <f t="shared" si="28"/>
        <v>41609</v>
      </c>
      <c r="V1810" s="694">
        <v>41621</v>
      </c>
      <c r="W1810" s="695">
        <v>1935.89</v>
      </c>
    </row>
    <row r="1811" spans="21:23">
      <c r="U1811" s="693">
        <f t="shared" si="28"/>
        <v>41609</v>
      </c>
      <c r="V1811" s="694">
        <v>41622</v>
      </c>
      <c r="W1811" s="695">
        <v>1930.87</v>
      </c>
    </row>
    <row r="1812" spans="21:23">
      <c r="U1812" s="693">
        <f t="shared" si="28"/>
        <v>41609</v>
      </c>
      <c r="V1812" s="694">
        <v>41623</v>
      </c>
      <c r="W1812" s="695">
        <v>1930.87</v>
      </c>
    </row>
    <row r="1813" spans="21:23">
      <c r="U1813" s="693">
        <f t="shared" si="28"/>
        <v>41609</v>
      </c>
      <c r="V1813" s="694">
        <v>41624</v>
      </c>
      <c r="W1813" s="695">
        <v>1930.87</v>
      </c>
    </row>
    <row r="1814" spans="21:23">
      <c r="U1814" s="693">
        <f t="shared" si="28"/>
        <v>41609</v>
      </c>
      <c r="V1814" s="694">
        <v>41625</v>
      </c>
      <c r="W1814" s="695">
        <v>1934.95</v>
      </c>
    </row>
    <row r="1815" spans="21:23">
      <c r="U1815" s="693">
        <f t="shared" si="28"/>
        <v>41609</v>
      </c>
      <c r="V1815" s="694">
        <v>41626</v>
      </c>
      <c r="W1815" s="695">
        <v>1936.14</v>
      </c>
    </row>
    <row r="1816" spans="21:23">
      <c r="U1816" s="693">
        <f t="shared" si="28"/>
        <v>41609</v>
      </c>
      <c r="V1816" s="694">
        <v>41627</v>
      </c>
      <c r="W1816" s="695">
        <v>1945.6</v>
      </c>
    </row>
    <row r="1817" spans="21:23">
      <c r="U1817" s="693">
        <f t="shared" si="28"/>
        <v>41609</v>
      </c>
      <c r="V1817" s="694">
        <v>41628</v>
      </c>
      <c r="W1817" s="695">
        <v>1943.46</v>
      </c>
    </row>
    <row r="1818" spans="21:23">
      <c r="U1818" s="693">
        <f t="shared" si="28"/>
        <v>41609</v>
      </c>
      <c r="V1818" s="694">
        <v>41629</v>
      </c>
      <c r="W1818" s="695">
        <v>1935.93</v>
      </c>
    </row>
    <row r="1819" spans="21:23">
      <c r="U1819" s="693">
        <f t="shared" si="28"/>
        <v>41609</v>
      </c>
      <c r="V1819" s="694">
        <v>41630</v>
      </c>
      <c r="W1819" s="695">
        <v>1935.93</v>
      </c>
    </row>
    <row r="1820" spans="21:23">
      <c r="U1820" s="693">
        <f t="shared" si="28"/>
        <v>41609</v>
      </c>
      <c r="V1820" s="694">
        <v>41631</v>
      </c>
      <c r="W1820" s="695">
        <v>1935.93</v>
      </c>
    </row>
    <row r="1821" spans="21:23">
      <c r="U1821" s="693">
        <f t="shared" si="28"/>
        <v>41609</v>
      </c>
      <c r="V1821" s="694">
        <v>41632</v>
      </c>
      <c r="W1821" s="695">
        <v>1925.45</v>
      </c>
    </row>
    <row r="1822" spans="21:23">
      <c r="U1822" s="693">
        <f t="shared" si="28"/>
        <v>41609</v>
      </c>
      <c r="V1822" s="694">
        <v>41633</v>
      </c>
      <c r="W1822" s="695">
        <v>1922.76</v>
      </c>
    </row>
    <row r="1823" spans="21:23">
      <c r="U1823" s="693">
        <f t="shared" si="28"/>
        <v>41609</v>
      </c>
      <c r="V1823" s="694">
        <v>41634</v>
      </c>
      <c r="W1823" s="695">
        <v>1922.76</v>
      </c>
    </row>
    <row r="1824" spans="21:23">
      <c r="U1824" s="693">
        <f t="shared" si="28"/>
        <v>41609</v>
      </c>
      <c r="V1824" s="694">
        <v>41635</v>
      </c>
      <c r="W1824" s="695">
        <v>1921.22</v>
      </c>
    </row>
    <row r="1825" spans="21:23">
      <c r="U1825" s="693">
        <f t="shared" si="28"/>
        <v>41609</v>
      </c>
      <c r="V1825" s="694">
        <v>41636</v>
      </c>
      <c r="W1825" s="695">
        <v>1922.56</v>
      </c>
    </row>
    <row r="1826" spans="21:23">
      <c r="U1826" s="693">
        <f t="shared" si="28"/>
        <v>41609</v>
      </c>
      <c r="V1826" s="694">
        <v>41637</v>
      </c>
      <c r="W1826" s="695">
        <v>1922.56</v>
      </c>
    </row>
    <row r="1827" spans="21:23">
      <c r="U1827" s="693">
        <f t="shared" si="28"/>
        <v>41609</v>
      </c>
      <c r="V1827" s="694">
        <v>41638</v>
      </c>
      <c r="W1827" s="695">
        <v>1922.56</v>
      </c>
    </row>
    <row r="1828" spans="21:23">
      <c r="U1828" s="693">
        <f t="shared" si="28"/>
        <v>41609</v>
      </c>
      <c r="V1828" s="694">
        <v>41639</v>
      </c>
      <c r="W1828" s="695">
        <v>1926.83</v>
      </c>
    </row>
    <row r="1829" spans="21:23">
      <c r="U1829" s="693">
        <f t="shared" si="28"/>
        <v>41640</v>
      </c>
      <c r="V1829" s="694">
        <v>41640</v>
      </c>
      <c r="W1829" s="695">
        <v>1926.83</v>
      </c>
    </row>
    <row r="1830" spans="21:23">
      <c r="U1830" s="693">
        <f t="shared" si="28"/>
        <v>41640</v>
      </c>
      <c r="V1830" s="694">
        <v>41641</v>
      </c>
      <c r="W1830" s="695">
        <v>1926.83</v>
      </c>
    </row>
    <row r="1831" spans="21:23">
      <c r="U1831" s="693">
        <f t="shared" si="28"/>
        <v>41640</v>
      </c>
      <c r="V1831" s="694">
        <v>41642</v>
      </c>
      <c r="W1831" s="695">
        <v>1938.89</v>
      </c>
    </row>
    <row r="1832" spans="21:23">
      <c r="U1832" s="693">
        <f t="shared" si="28"/>
        <v>41640</v>
      </c>
      <c r="V1832" s="694">
        <v>41643</v>
      </c>
      <c r="W1832" s="695">
        <v>1936.92</v>
      </c>
    </row>
    <row r="1833" spans="21:23">
      <c r="U1833" s="693">
        <f t="shared" si="28"/>
        <v>41640</v>
      </c>
      <c r="V1833" s="694">
        <v>41644</v>
      </c>
      <c r="W1833" s="695">
        <v>1936.92</v>
      </c>
    </row>
    <row r="1834" spans="21:23">
      <c r="U1834" s="693">
        <f t="shared" si="28"/>
        <v>41640</v>
      </c>
      <c r="V1834" s="694">
        <v>41645</v>
      </c>
      <c r="W1834" s="695">
        <v>1936.92</v>
      </c>
    </row>
    <row r="1835" spans="21:23">
      <c r="U1835" s="693">
        <f t="shared" si="28"/>
        <v>41640</v>
      </c>
      <c r="V1835" s="694">
        <v>41646</v>
      </c>
      <c r="W1835" s="695">
        <v>1936.92</v>
      </c>
    </row>
    <row r="1836" spans="21:23">
      <c r="U1836" s="693">
        <f t="shared" si="28"/>
        <v>41640</v>
      </c>
      <c r="V1836" s="694">
        <v>41647</v>
      </c>
      <c r="W1836" s="695">
        <v>1930.45</v>
      </c>
    </row>
    <row r="1837" spans="21:23">
      <c r="U1837" s="693">
        <f t="shared" si="28"/>
        <v>41640</v>
      </c>
      <c r="V1837" s="694">
        <v>41648</v>
      </c>
      <c r="W1837" s="695">
        <v>1933.24</v>
      </c>
    </row>
    <row r="1838" spans="21:23">
      <c r="U1838" s="693">
        <f t="shared" si="28"/>
        <v>41640</v>
      </c>
      <c r="V1838" s="694">
        <v>41649</v>
      </c>
      <c r="W1838" s="695">
        <v>1934.88</v>
      </c>
    </row>
    <row r="1839" spans="21:23">
      <c r="U1839" s="693">
        <f t="shared" si="28"/>
        <v>41640</v>
      </c>
      <c r="V1839" s="694">
        <v>41650</v>
      </c>
      <c r="W1839" s="695">
        <v>1926.55</v>
      </c>
    </row>
    <row r="1840" spans="21:23">
      <c r="U1840" s="693">
        <f t="shared" si="28"/>
        <v>41640</v>
      </c>
      <c r="V1840" s="694">
        <v>41651</v>
      </c>
      <c r="W1840" s="695">
        <v>1926.55</v>
      </c>
    </row>
    <row r="1841" spans="21:23">
      <c r="U1841" s="693">
        <f t="shared" si="28"/>
        <v>41640</v>
      </c>
      <c r="V1841" s="694">
        <v>41652</v>
      </c>
      <c r="W1841" s="695">
        <v>1926.55</v>
      </c>
    </row>
    <row r="1842" spans="21:23">
      <c r="U1842" s="693">
        <f t="shared" si="28"/>
        <v>41640</v>
      </c>
      <c r="V1842" s="694">
        <v>41653</v>
      </c>
      <c r="W1842" s="695">
        <v>1924.79</v>
      </c>
    </row>
    <row r="1843" spans="21:23">
      <c r="U1843" s="693">
        <f t="shared" si="28"/>
        <v>41640</v>
      </c>
      <c r="V1843" s="694">
        <v>41654</v>
      </c>
      <c r="W1843" s="695">
        <v>1932.59</v>
      </c>
    </row>
    <row r="1844" spans="21:23">
      <c r="U1844" s="693">
        <f t="shared" si="28"/>
        <v>41640</v>
      </c>
      <c r="V1844" s="694">
        <v>41655</v>
      </c>
      <c r="W1844" s="695">
        <v>1941.45</v>
      </c>
    </row>
    <row r="1845" spans="21:23">
      <c r="U1845" s="693">
        <f t="shared" si="28"/>
        <v>41640</v>
      </c>
      <c r="V1845" s="694">
        <v>41656</v>
      </c>
      <c r="W1845" s="695">
        <v>1947.15</v>
      </c>
    </row>
    <row r="1846" spans="21:23">
      <c r="U1846" s="693">
        <f t="shared" si="28"/>
        <v>41640</v>
      </c>
      <c r="V1846" s="694">
        <v>41657</v>
      </c>
      <c r="W1846" s="695">
        <v>1957.86</v>
      </c>
    </row>
    <row r="1847" spans="21:23">
      <c r="U1847" s="693">
        <f t="shared" si="28"/>
        <v>41640</v>
      </c>
      <c r="V1847" s="694">
        <v>41658</v>
      </c>
      <c r="W1847" s="695">
        <v>1957.86</v>
      </c>
    </row>
    <row r="1848" spans="21:23">
      <c r="U1848" s="693">
        <f t="shared" si="28"/>
        <v>41640</v>
      </c>
      <c r="V1848" s="694">
        <v>41659</v>
      </c>
      <c r="W1848" s="695">
        <v>1957.86</v>
      </c>
    </row>
    <row r="1849" spans="21:23">
      <c r="U1849" s="693">
        <f t="shared" si="28"/>
        <v>41640</v>
      </c>
      <c r="V1849" s="694">
        <v>41660</v>
      </c>
      <c r="W1849" s="695">
        <v>1957.86</v>
      </c>
    </row>
    <row r="1850" spans="21:23">
      <c r="U1850" s="693">
        <f t="shared" si="28"/>
        <v>41640</v>
      </c>
      <c r="V1850" s="694">
        <v>41661</v>
      </c>
      <c r="W1850" s="695">
        <v>1981.98</v>
      </c>
    </row>
    <row r="1851" spans="21:23">
      <c r="U1851" s="693">
        <f t="shared" si="28"/>
        <v>41640</v>
      </c>
      <c r="V1851" s="694">
        <v>41662</v>
      </c>
      <c r="W1851" s="695">
        <v>1983.48</v>
      </c>
    </row>
    <row r="1852" spans="21:23">
      <c r="U1852" s="693">
        <f t="shared" si="28"/>
        <v>41640</v>
      </c>
      <c r="V1852" s="694">
        <v>41663</v>
      </c>
      <c r="W1852" s="695">
        <v>1993.23</v>
      </c>
    </row>
    <row r="1853" spans="21:23">
      <c r="U1853" s="693">
        <f t="shared" si="28"/>
        <v>41640</v>
      </c>
      <c r="V1853" s="694">
        <v>41664</v>
      </c>
      <c r="W1853" s="695">
        <v>2000.48</v>
      </c>
    </row>
    <row r="1854" spans="21:23">
      <c r="U1854" s="693">
        <f t="shared" si="28"/>
        <v>41640</v>
      </c>
      <c r="V1854" s="694">
        <v>41665</v>
      </c>
      <c r="W1854" s="695">
        <v>2000.48</v>
      </c>
    </row>
    <row r="1855" spans="21:23">
      <c r="U1855" s="693">
        <f t="shared" si="28"/>
        <v>41640</v>
      </c>
      <c r="V1855" s="694">
        <v>41666</v>
      </c>
      <c r="W1855" s="695">
        <v>2000.48</v>
      </c>
    </row>
    <row r="1856" spans="21:23">
      <c r="U1856" s="693">
        <f t="shared" si="28"/>
        <v>41640</v>
      </c>
      <c r="V1856" s="694">
        <v>41667</v>
      </c>
      <c r="W1856" s="695">
        <v>1997.91</v>
      </c>
    </row>
    <row r="1857" spans="21:23">
      <c r="U1857" s="693">
        <f t="shared" si="28"/>
        <v>41640</v>
      </c>
      <c r="V1857" s="694">
        <v>41668</v>
      </c>
      <c r="W1857" s="695">
        <v>2000.56</v>
      </c>
    </row>
    <row r="1858" spans="21:23">
      <c r="U1858" s="693">
        <f t="shared" si="28"/>
        <v>41640</v>
      </c>
      <c r="V1858" s="694">
        <v>41669</v>
      </c>
      <c r="W1858" s="695">
        <v>2013.17</v>
      </c>
    </row>
    <row r="1859" spans="21:23">
      <c r="U1859" s="693">
        <f t="shared" ref="U1859:U1922" si="29">+DATE(YEAR(V1859),MONTH(V1859),1)</f>
        <v>41640</v>
      </c>
      <c r="V1859" s="694">
        <v>41670</v>
      </c>
      <c r="W1859" s="695">
        <v>2008.26</v>
      </c>
    </row>
    <row r="1860" spans="21:23">
      <c r="U1860" s="693">
        <f t="shared" si="29"/>
        <v>41671</v>
      </c>
      <c r="V1860" s="694">
        <v>41671</v>
      </c>
      <c r="W1860" s="695">
        <v>2021.1</v>
      </c>
    </row>
    <row r="1861" spans="21:23">
      <c r="U1861" s="693">
        <f t="shared" si="29"/>
        <v>41671</v>
      </c>
      <c r="V1861" s="694">
        <v>41672</v>
      </c>
      <c r="W1861" s="695">
        <v>2021.1</v>
      </c>
    </row>
    <row r="1862" spans="21:23">
      <c r="U1862" s="693">
        <f t="shared" si="29"/>
        <v>41671</v>
      </c>
      <c r="V1862" s="694">
        <v>41673</v>
      </c>
      <c r="W1862" s="695">
        <v>2021.1</v>
      </c>
    </row>
    <row r="1863" spans="21:23">
      <c r="U1863" s="693">
        <f t="shared" si="29"/>
        <v>41671</v>
      </c>
      <c r="V1863" s="694">
        <v>41674</v>
      </c>
      <c r="W1863" s="695">
        <v>2039.85</v>
      </c>
    </row>
    <row r="1864" spans="21:23">
      <c r="U1864" s="693">
        <f t="shared" si="29"/>
        <v>41671</v>
      </c>
      <c r="V1864" s="694">
        <v>41675</v>
      </c>
      <c r="W1864" s="695">
        <v>2041.34</v>
      </c>
    </row>
    <row r="1865" spans="21:23">
      <c r="U1865" s="693">
        <f t="shared" si="29"/>
        <v>41671</v>
      </c>
      <c r="V1865" s="694">
        <v>41676</v>
      </c>
      <c r="W1865" s="695">
        <v>2048.75</v>
      </c>
    </row>
    <row r="1866" spans="21:23">
      <c r="U1866" s="693">
        <f t="shared" si="29"/>
        <v>41671</v>
      </c>
      <c r="V1866" s="694">
        <v>41677</v>
      </c>
      <c r="W1866" s="695">
        <v>2049.52</v>
      </c>
    </row>
    <row r="1867" spans="21:23">
      <c r="U1867" s="693">
        <f t="shared" si="29"/>
        <v>41671</v>
      </c>
      <c r="V1867" s="694">
        <v>41678</v>
      </c>
      <c r="W1867" s="695">
        <v>2046.06</v>
      </c>
    </row>
    <row r="1868" spans="21:23">
      <c r="U1868" s="693">
        <f t="shared" si="29"/>
        <v>41671</v>
      </c>
      <c r="V1868" s="694">
        <v>41679</v>
      </c>
      <c r="W1868" s="695">
        <v>2046.06</v>
      </c>
    </row>
    <row r="1869" spans="21:23">
      <c r="U1869" s="693">
        <f t="shared" si="29"/>
        <v>41671</v>
      </c>
      <c r="V1869" s="694">
        <v>41680</v>
      </c>
      <c r="W1869" s="695">
        <v>2046.06</v>
      </c>
    </row>
    <row r="1870" spans="21:23">
      <c r="U1870" s="693">
        <f t="shared" si="29"/>
        <v>41671</v>
      </c>
      <c r="V1870" s="694">
        <v>41681</v>
      </c>
      <c r="W1870" s="695">
        <v>2048.5500000000002</v>
      </c>
    </row>
    <row r="1871" spans="21:23">
      <c r="U1871" s="693">
        <f t="shared" si="29"/>
        <v>41671</v>
      </c>
      <c r="V1871" s="694">
        <v>41682</v>
      </c>
      <c r="W1871" s="695">
        <v>2041.61</v>
      </c>
    </row>
    <row r="1872" spans="21:23">
      <c r="U1872" s="693">
        <f t="shared" si="29"/>
        <v>41671</v>
      </c>
      <c r="V1872" s="694">
        <v>41683</v>
      </c>
      <c r="W1872" s="695">
        <v>2031.75</v>
      </c>
    </row>
    <row r="1873" spans="21:23">
      <c r="U1873" s="693">
        <f t="shared" si="29"/>
        <v>41671</v>
      </c>
      <c r="V1873" s="694">
        <v>41684</v>
      </c>
      <c r="W1873" s="695">
        <v>2032.99</v>
      </c>
    </row>
    <row r="1874" spans="21:23">
      <c r="U1874" s="693">
        <f t="shared" si="29"/>
        <v>41671</v>
      </c>
      <c r="V1874" s="694">
        <v>41685</v>
      </c>
      <c r="W1874" s="695">
        <v>2022.68</v>
      </c>
    </row>
    <row r="1875" spans="21:23">
      <c r="U1875" s="693">
        <f t="shared" si="29"/>
        <v>41671</v>
      </c>
      <c r="V1875" s="694">
        <v>41686</v>
      </c>
      <c r="W1875" s="695">
        <v>2022.68</v>
      </c>
    </row>
    <row r="1876" spans="21:23">
      <c r="U1876" s="693">
        <f t="shared" si="29"/>
        <v>41671</v>
      </c>
      <c r="V1876" s="694">
        <v>41687</v>
      </c>
      <c r="W1876" s="695">
        <v>2022.68</v>
      </c>
    </row>
    <row r="1877" spans="21:23">
      <c r="U1877" s="693">
        <f t="shared" si="29"/>
        <v>41671</v>
      </c>
      <c r="V1877" s="694">
        <v>41688</v>
      </c>
      <c r="W1877" s="695">
        <v>2022.68</v>
      </c>
    </row>
    <row r="1878" spans="21:23">
      <c r="U1878" s="693">
        <f t="shared" si="29"/>
        <v>41671</v>
      </c>
      <c r="V1878" s="694">
        <v>41689</v>
      </c>
      <c r="W1878" s="695">
        <v>2028.54</v>
      </c>
    </row>
    <row r="1879" spans="21:23">
      <c r="U1879" s="693">
        <f t="shared" si="29"/>
        <v>41671</v>
      </c>
      <c r="V1879" s="694">
        <v>41690</v>
      </c>
      <c r="W1879" s="695">
        <v>2042.22</v>
      </c>
    </row>
    <row r="1880" spans="21:23">
      <c r="U1880" s="693">
        <f t="shared" si="29"/>
        <v>41671</v>
      </c>
      <c r="V1880" s="694">
        <v>41691</v>
      </c>
      <c r="W1880" s="695">
        <v>2052.46</v>
      </c>
    </row>
    <row r="1881" spans="21:23">
      <c r="U1881" s="693">
        <f t="shared" si="29"/>
        <v>41671</v>
      </c>
      <c r="V1881" s="694">
        <v>41692</v>
      </c>
      <c r="W1881" s="695">
        <v>2043.96</v>
      </c>
    </row>
    <row r="1882" spans="21:23">
      <c r="U1882" s="693">
        <f t="shared" si="29"/>
        <v>41671</v>
      </c>
      <c r="V1882" s="694">
        <v>41693</v>
      </c>
      <c r="W1882" s="695">
        <v>2043.96</v>
      </c>
    </row>
    <row r="1883" spans="21:23">
      <c r="U1883" s="693">
        <f t="shared" si="29"/>
        <v>41671</v>
      </c>
      <c r="V1883" s="694">
        <v>41694</v>
      </c>
      <c r="W1883" s="695">
        <v>2043.96</v>
      </c>
    </row>
    <row r="1884" spans="21:23">
      <c r="U1884" s="693">
        <f t="shared" si="29"/>
        <v>41671</v>
      </c>
      <c r="V1884" s="694">
        <v>41695</v>
      </c>
      <c r="W1884" s="695">
        <v>2042.67</v>
      </c>
    </row>
    <row r="1885" spans="21:23">
      <c r="U1885" s="693">
        <f t="shared" si="29"/>
        <v>41671</v>
      </c>
      <c r="V1885" s="694">
        <v>41696</v>
      </c>
      <c r="W1885" s="695">
        <v>2045.45</v>
      </c>
    </row>
    <row r="1886" spans="21:23">
      <c r="U1886" s="693">
        <f t="shared" si="29"/>
        <v>41671</v>
      </c>
      <c r="V1886" s="694">
        <v>41697</v>
      </c>
      <c r="W1886" s="695">
        <v>2053.11</v>
      </c>
    </row>
    <row r="1887" spans="21:23">
      <c r="U1887" s="693">
        <f t="shared" si="29"/>
        <v>41671</v>
      </c>
      <c r="V1887" s="694">
        <v>41698</v>
      </c>
      <c r="W1887" s="695">
        <v>2054.9</v>
      </c>
    </row>
    <row r="1888" spans="21:23">
      <c r="U1888" s="693">
        <f t="shared" si="29"/>
        <v>41699</v>
      </c>
      <c r="V1888" s="694">
        <v>41699</v>
      </c>
      <c r="W1888" s="695">
        <v>2046.75</v>
      </c>
    </row>
    <row r="1889" spans="21:23">
      <c r="U1889" s="693">
        <f t="shared" si="29"/>
        <v>41699</v>
      </c>
      <c r="V1889" s="694">
        <v>41700</v>
      </c>
      <c r="W1889" s="695">
        <v>2046.75</v>
      </c>
    </row>
    <row r="1890" spans="21:23">
      <c r="U1890" s="693">
        <f t="shared" si="29"/>
        <v>41699</v>
      </c>
      <c r="V1890" s="694">
        <v>41701</v>
      </c>
      <c r="W1890" s="695">
        <v>2046.75</v>
      </c>
    </row>
    <row r="1891" spans="21:23">
      <c r="U1891" s="693">
        <f t="shared" si="29"/>
        <v>41699</v>
      </c>
      <c r="V1891" s="694">
        <v>41702</v>
      </c>
      <c r="W1891" s="695">
        <v>2052.5100000000002</v>
      </c>
    </row>
    <row r="1892" spans="21:23">
      <c r="U1892" s="693">
        <f t="shared" si="29"/>
        <v>41699</v>
      </c>
      <c r="V1892" s="694">
        <v>41703</v>
      </c>
      <c r="W1892" s="695">
        <v>2047.75</v>
      </c>
    </row>
    <row r="1893" spans="21:23">
      <c r="U1893" s="693">
        <f t="shared" si="29"/>
        <v>41699</v>
      </c>
      <c r="V1893" s="694">
        <v>41704</v>
      </c>
      <c r="W1893" s="695">
        <v>2045.14</v>
      </c>
    </row>
    <row r="1894" spans="21:23">
      <c r="U1894" s="693">
        <f t="shared" si="29"/>
        <v>41699</v>
      </c>
      <c r="V1894" s="694">
        <v>41705</v>
      </c>
      <c r="W1894" s="695">
        <v>2030.02</v>
      </c>
    </row>
    <row r="1895" spans="21:23">
      <c r="U1895" s="693">
        <f t="shared" si="29"/>
        <v>41699</v>
      </c>
      <c r="V1895" s="694">
        <v>41706</v>
      </c>
      <c r="W1895" s="695">
        <v>2036.2</v>
      </c>
    </row>
    <row r="1896" spans="21:23">
      <c r="U1896" s="693">
        <f t="shared" si="29"/>
        <v>41699</v>
      </c>
      <c r="V1896" s="694">
        <v>41707</v>
      </c>
      <c r="W1896" s="695">
        <v>2036.2</v>
      </c>
    </row>
    <row r="1897" spans="21:23">
      <c r="U1897" s="693">
        <f t="shared" si="29"/>
        <v>41699</v>
      </c>
      <c r="V1897" s="694">
        <v>41708</v>
      </c>
      <c r="W1897" s="695">
        <v>2036.2</v>
      </c>
    </row>
    <row r="1898" spans="21:23">
      <c r="U1898" s="693">
        <f t="shared" si="29"/>
        <v>41699</v>
      </c>
      <c r="V1898" s="694">
        <v>41709</v>
      </c>
      <c r="W1898" s="695">
        <v>2042.78</v>
      </c>
    </row>
    <row r="1899" spans="21:23">
      <c r="U1899" s="693">
        <f t="shared" si="29"/>
        <v>41699</v>
      </c>
      <c r="V1899" s="694">
        <v>41710</v>
      </c>
      <c r="W1899" s="695">
        <v>2043.59</v>
      </c>
    </row>
    <row r="1900" spans="21:23">
      <c r="U1900" s="693">
        <f t="shared" si="29"/>
        <v>41699</v>
      </c>
      <c r="V1900" s="694">
        <v>41711</v>
      </c>
      <c r="W1900" s="695">
        <v>2047.59</v>
      </c>
    </row>
    <row r="1901" spans="21:23">
      <c r="U1901" s="693">
        <f t="shared" si="29"/>
        <v>41699</v>
      </c>
      <c r="V1901" s="694">
        <v>41712</v>
      </c>
      <c r="W1901" s="695">
        <v>2044.48</v>
      </c>
    </row>
    <row r="1902" spans="21:23">
      <c r="U1902" s="693">
        <f t="shared" si="29"/>
        <v>41699</v>
      </c>
      <c r="V1902" s="694">
        <v>41713</v>
      </c>
      <c r="W1902" s="695">
        <v>2044.58</v>
      </c>
    </row>
    <row r="1903" spans="21:23">
      <c r="U1903" s="693">
        <f t="shared" si="29"/>
        <v>41699</v>
      </c>
      <c r="V1903" s="694">
        <v>41714</v>
      </c>
      <c r="W1903" s="695">
        <v>2044.58</v>
      </c>
    </row>
    <row r="1904" spans="21:23">
      <c r="U1904" s="693">
        <f t="shared" si="29"/>
        <v>41699</v>
      </c>
      <c r="V1904" s="694">
        <v>41715</v>
      </c>
      <c r="W1904" s="695">
        <v>2044.58</v>
      </c>
    </row>
    <row r="1905" spans="21:23">
      <c r="U1905" s="693">
        <f t="shared" si="29"/>
        <v>41699</v>
      </c>
      <c r="V1905" s="694">
        <v>41716</v>
      </c>
      <c r="W1905" s="695">
        <v>2035.16</v>
      </c>
    </row>
    <row r="1906" spans="21:23">
      <c r="U1906" s="693">
        <f t="shared" si="29"/>
        <v>41699</v>
      </c>
      <c r="V1906" s="694">
        <v>41717</v>
      </c>
      <c r="W1906" s="695">
        <v>2034.86</v>
      </c>
    </row>
    <row r="1907" spans="21:23">
      <c r="U1907" s="693">
        <f t="shared" si="29"/>
        <v>41699</v>
      </c>
      <c r="V1907" s="694">
        <v>41718</v>
      </c>
      <c r="W1907" s="695">
        <v>2017.38</v>
      </c>
    </row>
    <row r="1908" spans="21:23">
      <c r="U1908" s="693">
        <f t="shared" si="29"/>
        <v>41699</v>
      </c>
      <c r="V1908" s="694">
        <v>41719</v>
      </c>
      <c r="W1908" s="695">
        <v>1998.6</v>
      </c>
    </row>
    <row r="1909" spans="21:23">
      <c r="U1909" s="693">
        <f t="shared" si="29"/>
        <v>41699</v>
      </c>
      <c r="V1909" s="694">
        <v>41720</v>
      </c>
      <c r="W1909" s="695">
        <v>1993.85</v>
      </c>
    </row>
    <row r="1910" spans="21:23">
      <c r="U1910" s="693">
        <f t="shared" si="29"/>
        <v>41699</v>
      </c>
      <c r="V1910" s="694">
        <v>41721</v>
      </c>
      <c r="W1910" s="695">
        <v>1993.85</v>
      </c>
    </row>
    <row r="1911" spans="21:23">
      <c r="U1911" s="693">
        <f t="shared" si="29"/>
        <v>41699</v>
      </c>
      <c r="V1911" s="694">
        <v>41722</v>
      </c>
      <c r="W1911" s="695">
        <v>1993.85</v>
      </c>
    </row>
    <row r="1912" spans="21:23">
      <c r="U1912" s="693">
        <f t="shared" si="29"/>
        <v>41699</v>
      </c>
      <c r="V1912" s="694">
        <v>41723</v>
      </c>
      <c r="W1912" s="695">
        <v>1993.85</v>
      </c>
    </row>
    <row r="1913" spans="21:23">
      <c r="U1913" s="693">
        <f t="shared" si="29"/>
        <v>41699</v>
      </c>
      <c r="V1913" s="694">
        <v>41724</v>
      </c>
      <c r="W1913" s="695">
        <v>1978.63</v>
      </c>
    </row>
    <row r="1914" spans="21:23">
      <c r="U1914" s="693">
        <f t="shared" si="29"/>
        <v>41699</v>
      </c>
      <c r="V1914" s="694">
        <v>41725</v>
      </c>
      <c r="W1914" s="695">
        <v>1973.03</v>
      </c>
    </row>
    <row r="1915" spans="21:23">
      <c r="U1915" s="693">
        <f t="shared" si="29"/>
        <v>41699</v>
      </c>
      <c r="V1915" s="694">
        <v>41726</v>
      </c>
      <c r="W1915" s="695">
        <v>1965.64</v>
      </c>
    </row>
    <row r="1916" spans="21:23">
      <c r="U1916" s="693">
        <f t="shared" si="29"/>
        <v>41699</v>
      </c>
      <c r="V1916" s="694">
        <v>41727</v>
      </c>
      <c r="W1916" s="695">
        <v>1965.32</v>
      </c>
    </row>
    <row r="1917" spans="21:23">
      <c r="U1917" s="693">
        <f t="shared" si="29"/>
        <v>41699</v>
      </c>
      <c r="V1917" s="694">
        <v>41728</v>
      </c>
      <c r="W1917" s="695">
        <v>1965.32</v>
      </c>
    </row>
    <row r="1918" spans="21:23">
      <c r="U1918" s="693">
        <f t="shared" si="29"/>
        <v>41699</v>
      </c>
      <c r="V1918" s="694">
        <v>41729</v>
      </c>
      <c r="W1918" s="695">
        <v>1965.32</v>
      </c>
    </row>
    <row r="1919" spans="21:23">
      <c r="U1919" s="693">
        <f t="shared" si="29"/>
        <v>41730</v>
      </c>
      <c r="V1919" s="694">
        <v>41730</v>
      </c>
      <c r="W1919" s="695">
        <v>1969.45</v>
      </c>
    </row>
    <row r="1920" spans="21:23">
      <c r="U1920" s="693">
        <f t="shared" si="29"/>
        <v>41730</v>
      </c>
      <c r="V1920" s="694">
        <v>41731</v>
      </c>
      <c r="W1920" s="695">
        <v>1966.02</v>
      </c>
    </row>
    <row r="1921" spans="21:23">
      <c r="U1921" s="693">
        <f t="shared" si="29"/>
        <v>41730</v>
      </c>
      <c r="V1921" s="694">
        <v>41732</v>
      </c>
      <c r="W1921" s="695">
        <v>1963.51</v>
      </c>
    </row>
    <row r="1922" spans="21:23">
      <c r="U1922" s="693">
        <f t="shared" si="29"/>
        <v>41730</v>
      </c>
      <c r="V1922" s="694">
        <v>41733</v>
      </c>
      <c r="W1922" s="695">
        <v>1966.4</v>
      </c>
    </row>
    <row r="1923" spans="21:23">
      <c r="U1923" s="693">
        <f t="shared" ref="U1923:U1986" si="30">+DATE(YEAR(V1923),MONTH(V1923),1)</f>
        <v>41730</v>
      </c>
      <c r="V1923" s="694">
        <v>41734</v>
      </c>
      <c r="W1923" s="695">
        <v>1951.85</v>
      </c>
    </row>
    <row r="1924" spans="21:23">
      <c r="U1924" s="693">
        <f t="shared" si="30"/>
        <v>41730</v>
      </c>
      <c r="V1924" s="694">
        <v>41735</v>
      </c>
      <c r="W1924" s="695">
        <v>1951.85</v>
      </c>
    </row>
    <row r="1925" spans="21:23">
      <c r="U1925" s="693">
        <f t="shared" si="30"/>
        <v>41730</v>
      </c>
      <c r="V1925" s="694">
        <v>41736</v>
      </c>
      <c r="W1925" s="695">
        <v>1951.85</v>
      </c>
    </row>
    <row r="1926" spans="21:23">
      <c r="U1926" s="693">
        <f t="shared" si="30"/>
        <v>41730</v>
      </c>
      <c r="V1926" s="694">
        <v>41737</v>
      </c>
      <c r="W1926" s="695">
        <v>1937.59</v>
      </c>
    </row>
    <row r="1927" spans="21:23">
      <c r="U1927" s="693">
        <f t="shared" si="30"/>
        <v>41730</v>
      </c>
      <c r="V1927" s="694">
        <v>41738</v>
      </c>
      <c r="W1927" s="695">
        <v>1923.95</v>
      </c>
    </row>
    <row r="1928" spans="21:23">
      <c r="U1928" s="693">
        <f t="shared" si="30"/>
        <v>41730</v>
      </c>
      <c r="V1928" s="694">
        <v>41739</v>
      </c>
      <c r="W1928" s="695">
        <v>1931.09</v>
      </c>
    </row>
    <row r="1929" spans="21:23">
      <c r="U1929" s="693">
        <f t="shared" si="30"/>
        <v>41730</v>
      </c>
      <c r="V1929" s="694">
        <v>41740</v>
      </c>
      <c r="W1929" s="695">
        <v>1920.93</v>
      </c>
    </row>
    <row r="1930" spans="21:23">
      <c r="U1930" s="693">
        <f t="shared" si="30"/>
        <v>41730</v>
      </c>
      <c r="V1930" s="694">
        <v>41741</v>
      </c>
      <c r="W1930" s="695">
        <v>1927.28</v>
      </c>
    </row>
    <row r="1931" spans="21:23">
      <c r="U1931" s="693">
        <f t="shared" si="30"/>
        <v>41730</v>
      </c>
      <c r="V1931" s="694">
        <v>41742</v>
      </c>
      <c r="W1931" s="695">
        <v>1927.28</v>
      </c>
    </row>
    <row r="1932" spans="21:23">
      <c r="U1932" s="693">
        <f t="shared" si="30"/>
        <v>41730</v>
      </c>
      <c r="V1932" s="694">
        <v>41743</v>
      </c>
      <c r="W1932" s="695">
        <v>1927.28</v>
      </c>
    </row>
    <row r="1933" spans="21:23">
      <c r="U1933" s="693">
        <f t="shared" si="30"/>
        <v>41730</v>
      </c>
      <c r="V1933" s="694">
        <v>41744</v>
      </c>
      <c r="W1933" s="695">
        <v>1926.47</v>
      </c>
    </row>
    <row r="1934" spans="21:23">
      <c r="U1934" s="693">
        <f t="shared" si="30"/>
        <v>41730</v>
      </c>
      <c r="V1934" s="694">
        <v>41745</v>
      </c>
      <c r="W1934" s="695">
        <v>1932.42</v>
      </c>
    </row>
    <row r="1935" spans="21:23">
      <c r="U1935" s="693">
        <f t="shared" si="30"/>
        <v>41730</v>
      </c>
      <c r="V1935" s="694">
        <v>41746</v>
      </c>
      <c r="W1935" s="695">
        <v>1930.62</v>
      </c>
    </row>
    <row r="1936" spans="21:23">
      <c r="U1936" s="693">
        <f t="shared" si="30"/>
        <v>41730</v>
      </c>
      <c r="V1936" s="694">
        <v>41747</v>
      </c>
      <c r="W1936" s="695">
        <v>1930.62</v>
      </c>
    </row>
    <row r="1937" spans="21:23">
      <c r="U1937" s="693">
        <f t="shared" si="30"/>
        <v>41730</v>
      </c>
      <c r="V1937" s="694">
        <v>41748</v>
      </c>
      <c r="W1937" s="695">
        <v>1930.62</v>
      </c>
    </row>
    <row r="1938" spans="21:23">
      <c r="U1938" s="693">
        <f t="shared" si="30"/>
        <v>41730</v>
      </c>
      <c r="V1938" s="694">
        <v>41749</v>
      </c>
      <c r="W1938" s="695">
        <v>1930.62</v>
      </c>
    </row>
    <row r="1939" spans="21:23">
      <c r="U1939" s="693">
        <f t="shared" si="30"/>
        <v>41730</v>
      </c>
      <c r="V1939" s="694">
        <v>41750</v>
      </c>
      <c r="W1939" s="695">
        <v>1930.62</v>
      </c>
    </row>
    <row r="1940" spans="21:23">
      <c r="U1940" s="693">
        <f t="shared" si="30"/>
        <v>41730</v>
      </c>
      <c r="V1940" s="694">
        <v>41751</v>
      </c>
      <c r="W1940" s="695">
        <v>1921.75</v>
      </c>
    </row>
    <row r="1941" spans="21:23">
      <c r="U1941" s="693">
        <f t="shared" si="30"/>
        <v>41730</v>
      </c>
      <c r="V1941" s="694">
        <v>41752</v>
      </c>
      <c r="W1941" s="695">
        <v>1929.66</v>
      </c>
    </row>
    <row r="1942" spans="21:23">
      <c r="U1942" s="693">
        <f t="shared" si="30"/>
        <v>41730</v>
      </c>
      <c r="V1942" s="694">
        <v>41753</v>
      </c>
      <c r="W1942" s="695">
        <v>1936.63</v>
      </c>
    </row>
    <row r="1943" spans="21:23">
      <c r="U1943" s="693">
        <f t="shared" si="30"/>
        <v>41730</v>
      </c>
      <c r="V1943" s="694">
        <v>41754</v>
      </c>
      <c r="W1943" s="695">
        <v>1936.07</v>
      </c>
    </row>
    <row r="1944" spans="21:23">
      <c r="U1944" s="693">
        <f t="shared" si="30"/>
        <v>41730</v>
      </c>
      <c r="V1944" s="694">
        <v>41755</v>
      </c>
      <c r="W1944" s="695">
        <v>1942.37</v>
      </c>
    </row>
    <row r="1945" spans="21:23">
      <c r="U1945" s="693">
        <f t="shared" si="30"/>
        <v>41730</v>
      </c>
      <c r="V1945" s="694">
        <v>41756</v>
      </c>
      <c r="W1945" s="695">
        <v>1942.37</v>
      </c>
    </row>
    <row r="1946" spans="21:23">
      <c r="U1946" s="693">
        <f t="shared" si="30"/>
        <v>41730</v>
      </c>
      <c r="V1946" s="694">
        <v>41757</v>
      </c>
      <c r="W1946" s="695">
        <v>1942.37</v>
      </c>
    </row>
    <row r="1947" spans="21:23">
      <c r="U1947" s="693">
        <f t="shared" si="30"/>
        <v>41730</v>
      </c>
      <c r="V1947" s="694">
        <v>41758</v>
      </c>
      <c r="W1947" s="695">
        <v>1936.13</v>
      </c>
    </row>
    <row r="1948" spans="21:23">
      <c r="U1948" s="693">
        <f t="shared" si="30"/>
        <v>41730</v>
      </c>
      <c r="V1948" s="694">
        <v>41759</v>
      </c>
      <c r="W1948" s="695">
        <v>1935.14</v>
      </c>
    </row>
    <row r="1949" spans="21:23">
      <c r="U1949" s="693">
        <f t="shared" si="30"/>
        <v>41760</v>
      </c>
      <c r="V1949" s="694">
        <v>41760</v>
      </c>
      <c r="W1949" s="695">
        <v>1933.46</v>
      </c>
    </row>
    <row r="1950" spans="21:23">
      <c r="U1950" s="693">
        <f t="shared" si="30"/>
        <v>41760</v>
      </c>
      <c r="V1950" s="694">
        <v>41761</v>
      </c>
      <c r="W1950" s="695">
        <v>1933.46</v>
      </c>
    </row>
    <row r="1951" spans="21:23">
      <c r="U1951" s="693">
        <f t="shared" si="30"/>
        <v>41760</v>
      </c>
      <c r="V1951" s="694">
        <v>41762</v>
      </c>
      <c r="W1951" s="695">
        <v>1926.3</v>
      </c>
    </row>
    <row r="1952" spans="21:23">
      <c r="U1952" s="693">
        <f t="shared" si="30"/>
        <v>41760</v>
      </c>
      <c r="V1952" s="694">
        <v>41763</v>
      </c>
      <c r="W1952" s="695">
        <v>1926.3</v>
      </c>
    </row>
    <row r="1953" spans="21:23">
      <c r="U1953" s="693">
        <f t="shared" si="30"/>
        <v>41760</v>
      </c>
      <c r="V1953" s="694">
        <v>41764</v>
      </c>
      <c r="W1953" s="695">
        <v>1926.3</v>
      </c>
    </row>
    <row r="1954" spans="21:23">
      <c r="U1954" s="693">
        <f t="shared" si="30"/>
        <v>41760</v>
      </c>
      <c r="V1954" s="694">
        <v>41765</v>
      </c>
      <c r="W1954" s="695">
        <v>1923.07</v>
      </c>
    </row>
    <row r="1955" spans="21:23">
      <c r="U1955" s="693">
        <f t="shared" si="30"/>
        <v>41760</v>
      </c>
      <c r="V1955" s="694">
        <v>41766</v>
      </c>
      <c r="W1955" s="695">
        <v>1918.2</v>
      </c>
    </row>
    <row r="1956" spans="21:23">
      <c r="U1956" s="693">
        <f t="shared" si="30"/>
        <v>41760</v>
      </c>
      <c r="V1956" s="694">
        <v>41767</v>
      </c>
      <c r="W1956" s="695">
        <v>1912.97</v>
      </c>
    </row>
    <row r="1957" spans="21:23">
      <c r="U1957" s="693">
        <f t="shared" si="30"/>
        <v>41760</v>
      </c>
      <c r="V1957" s="694">
        <v>41768</v>
      </c>
      <c r="W1957" s="695">
        <v>1902.15</v>
      </c>
    </row>
    <row r="1958" spans="21:23">
      <c r="U1958" s="693">
        <f t="shared" si="30"/>
        <v>41760</v>
      </c>
      <c r="V1958" s="694">
        <v>41769</v>
      </c>
      <c r="W1958" s="695">
        <v>1901.51</v>
      </c>
    </row>
    <row r="1959" spans="21:23">
      <c r="U1959" s="693">
        <f t="shared" si="30"/>
        <v>41760</v>
      </c>
      <c r="V1959" s="694">
        <v>41770</v>
      </c>
      <c r="W1959" s="695">
        <v>1901.51</v>
      </c>
    </row>
    <row r="1960" spans="21:23">
      <c r="U1960" s="693">
        <f t="shared" si="30"/>
        <v>41760</v>
      </c>
      <c r="V1960" s="694">
        <v>41771</v>
      </c>
      <c r="W1960" s="695">
        <v>1901.51</v>
      </c>
    </row>
    <row r="1961" spans="21:23">
      <c r="U1961" s="693">
        <f t="shared" si="30"/>
        <v>41760</v>
      </c>
      <c r="V1961" s="694">
        <v>41772</v>
      </c>
      <c r="W1961" s="695">
        <v>1904.85</v>
      </c>
    </row>
    <row r="1962" spans="21:23">
      <c r="U1962" s="693">
        <f t="shared" si="30"/>
        <v>41760</v>
      </c>
      <c r="V1962" s="694">
        <v>41773</v>
      </c>
      <c r="W1962" s="695">
        <v>1919.7</v>
      </c>
    </row>
    <row r="1963" spans="21:23">
      <c r="U1963" s="693">
        <f t="shared" si="30"/>
        <v>41760</v>
      </c>
      <c r="V1963" s="694">
        <v>41774</v>
      </c>
      <c r="W1963" s="695">
        <v>1925.31</v>
      </c>
    </row>
    <row r="1964" spans="21:23">
      <c r="U1964" s="693">
        <f t="shared" si="30"/>
        <v>41760</v>
      </c>
      <c r="V1964" s="694">
        <v>41775</v>
      </c>
      <c r="W1964" s="695">
        <v>1927.8</v>
      </c>
    </row>
    <row r="1965" spans="21:23">
      <c r="U1965" s="693">
        <f t="shared" si="30"/>
        <v>41760</v>
      </c>
      <c r="V1965" s="694">
        <v>41776</v>
      </c>
      <c r="W1965" s="695">
        <v>1925.41</v>
      </c>
    </row>
    <row r="1966" spans="21:23">
      <c r="U1966" s="693">
        <f t="shared" si="30"/>
        <v>41760</v>
      </c>
      <c r="V1966" s="694">
        <v>41777</v>
      </c>
      <c r="W1966" s="695">
        <v>1925.41</v>
      </c>
    </row>
    <row r="1967" spans="21:23">
      <c r="U1967" s="693">
        <f t="shared" si="30"/>
        <v>41760</v>
      </c>
      <c r="V1967" s="694">
        <v>41778</v>
      </c>
      <c r="W1967" s="695">
        <v>1925.41</v>
      </c>
    </row>
    <row r="1968" spans="21:23">
      <c r="U1968" s="693">
        <f t="shared" si="30"/>
        <v>41760</v>
      </c>
      <c r="V1968" s="694">
        <v>41779</v>
      </c>
      <c r="W1968" s="695">
        <v>1921.16</v>
      </c>
    </row>
    <row r="1969" spans="21:23">
      <c r="U1969" s="693">
        <f t="shared" si="30"/>
        <v>41760</v>
      </c>
      <c r="V1969" s="694">
        <v>41780</v>
      </c>
      <c r="W1969" s="695">
        <v>1920.41</v>
      </c>
    </row>
    <row r="1970" spans="21:23">
      <c r="U1970" s="693">
        <f t="shared" si="30"/>
        <v>41760</v>
      </c>
      <c r="V1970" s="694">
        <v>41781</v>
      </c>
      <c r="W1970" s="695">
        <v>1911.33</v>
      </c>
    </row>
    <row r="1971" spans="21:23">
      <c r="U1971" s="693">
        <f t="shared" si="30"/>
        <v>41760</v>
      </c>
      <c r="V1971" s="694">
        <v>41782</v>
      </c>
      <c r="W1971" s="695">
        <v>1905.8</v>
      </c>
    </row>
    <row r="1972" spans="21:23">
      <c r="U1972" s="693">
        <f t="shared" si="30"/>
        <v>41760</v>
      </c>
      <c r="V1972" s="694">
        <v>41783</v>
      </c>
      <c r="W1972" s="695">
        <v>1905.53</v>
      </c>
    </row>
    <row r="1973" spans="21:23">
      <c r="U1973" s="693">
        <f t="shared" si="30"/>
        <v>41760</v>
      </c>
      <c r="V1973" s="694">
        <v>41784</v>
      </c>
      <c r="W1973" s="695">
        <v>1905.53</v>
      </c>
    </row>
    <row r="1974" spans="21:23">
      <c r="U1974" s="693">
        <f t="shared" si="30"/>
        <v>41760</v>
      </c>
      <c r="V1974" s="694">
        <v>41785</v>
      </c>
      <c r="W1974" s="695">
        <v>1905.53</v>
      </c>
    </row>
    <row r="1975" spans="21:23">
      <c r="U1975" s="693">
        <f t="shared" si="30"/>
        <v>41760</v>
      </c>
      <c r="V1975" s="694">
        <v>41786</v>
      </c>
      <c r="W1975" s="695">
        <v>1905.53</v>
      </c>
    </row>
    <row r="1976" spans="21:23">
      <c r="U1976" s="693">
        <f t="shared" si="30"/>
        <v>41760</v>
      </c>
      <c r="V1976" s="694">
        <v>41787</v>
      </c>
      <c r="W1976" s="695">
        <v>1917.34</v>
      </c>
    </row>
    <row r="1977" spans="21:23">
      <c r="U1977" s="693">
        <f t="shared" si="30"/>
        <v>41760</v>
      </c>
      <c r="V1977" s="694">
        <v>41788</v>
      </c>
      <c r="W1977" s="695">
        <v>1910.8</v>
      </c>
    </row>
    <row r="1978" spans="21:23">
      <c r="U1978" s="693">
        <f t="shared" si="30"/>
        <v>41760</v>
      </c>
      <c r="V1978" s="694">
        <v>41789</v>
      </c>
      <c r="W1978" s="695">
        <v>1905.96</v>
      </c>
    </row>
    <row r="1979" spans="21:23">
      <c r="U1979" s="693">
        <f t="shared" si="30"/>
        <v>41760</v>
      </c>
      <c r="V1979" s="694">
        <v>41790</v>
      </c>
      <c r="W1979" s="695">
        <v>1900.64</v>
      </c>
    </row>
    <row r="1980" spans="21:23">
      <c r="U1980" s="693">
        <f t="shared" si="30"/>
        <v>41791</v>
      </c>
      <c r="V1980" s="694">
        <v>41791</v>
      </c>
      <c r="W1980" s="695">
        <v>1900.64</v>
      </c>
    </row>
    <row r="1981" spans="21:23">
      <c r="U1981" s="693">
        <f t="shared" si="30"/>
        <v>41791</v>
      </c>
      <c r="V1981" s="694">
        <v>41792</v>
      </c>
      <c r="W1981" s="695">
        <v>1900.64</v>
      </c>
    </row>
    <row r="1982" spans="21:23">
      <c r="U1982" s="693">
        <f t="shared" si="30"/>
        <v>41791</v>
      </c>
      <c r="V1982" s="694">
        <v>41793</v>
      </c>
      <c r="W1982" s="695">
        <v>1900.64</v>
      </c>
    </row>
    <row r="1983" spans="21:23">
      <c r="U1983" s="693">
        <f t="shared" si="30"/>
        <v>41791</v>
      </c>
      <c r="V1983" s="694">
        <v>41794</v>
      </c>
      <c r="W1983" s="695">
        <v>1899.74</v>
      </c>
    </row>
    <row r="1984" spans="21:23">
      <c r="U1984" s="693">
        <f t="shared" si="30"/>
        <v>41791</v>
      </c>
      <c r="V1984" s="694">
        <v>41795</v>
      </c>
      <c r="W1984" s="695">
        <v>1897.7</v>
      </c>
    </row>
    <row r="1985" spans="21:23">
      <c r="U1985" s="693">
        <f t="shared" si="30"/>
        <v>41791</v>
      </c>
      <c r="V1985" s="694">
        <v>41796</v>
      </c>
      <c r="W1985" s="695">
        <v>1892.08</v>
      </c>
    </row>
    <row r="1986" spans="21:23">
      <c r="U1986" s="693">
        <f t="shared" si="30"/>
        <v>41791</v>
      </c>
      <c r="V1986" s="694">
        <v>41797</v>
      </c>
      <c r="W1986" s="695">
        <v>1886.09</v>
      </c>
    </row>
    <row r="1987" spans="21:23">
      <c r="U1987" s="693">
        <f t="shared" ref="U1987:U2050" si="31">+DATE(YEAR(V1987),MONTH(V1987),1)</f>
        <v>41791</v>
      </c>
      <c r="V1987" s="694">
        <v>41798</v>
      </c>
      <c r="W1987" s="695">
        <v>1886.09</v>
      </c>
    </row>
    <row r="1988" spans="21:23">
      <c r="U1988" s="693">
        <f t="shared" si="31"/>
        <v>41791</v>
      </c>
      <c r="V1988" s="694">
        <v>41799</v>
      </c>
      <c r="W1988" s="695">
        <v>1886.09</v>
      </c>
    </row>
    <row r="1989" spans="21:23">
      <c r="U1989" s="693">
        <f t="shared" si="31"/>
        <v>41791</v>
      </c>
      <c r="V1989" s="694">
        <v>41800</v>
      </c>
      <c r="W1989" s="695">
        <v>1883.76</v>
      </c>
    </row>
    <row r="1990" spans="21:23">
      <c r="U1990" s="693">
        <f t="shared" si="31"/>
        <v>41791</v>
      </c>
      <c r="V1990" s="694">
        <v>41801</v>
      </c>
      <c r="W1990" s="695">
        <v>1884.97</v>
      </c>
    </row>
    <row r="1991" spans="21:23">
      <c r="U1991" s="693">
        <f t="shared" si="31"/>
        <v>41791</v>
      </c>
      <c r="V1991" s="694">
        <v>41802</v>
      </c>
      <c r="W1991" s="695">
        <v>1884.63</v>
      </c>
    </row>
    <row r="1992" spans="21:23">
      <c r="U1992" s="693">
        <f t="shared" si="31"/>
        <v>41791</v>
      </c>
      <c r="V1992" s="694">
        <v>41803</v>
      </c>
      <c r="W1992" s="695">
        <v>1877.18</v>
      </c>
    </row>
    <row r="1993" spans="21:23">
      <c r="U1993" s="693">
        <f t="shared" si="31"/>
        <v>41791</v>
      </c>
      <c r="V1993" s="694">
        <v>41804</v>
      </c>
      <c r="W1993" s="695">
        <v>1877.37</v>
      </c>
    </row>
    <row r="1994" spans="21:23">
      <c r="U1994" s="693">
        <f t="shared" si="31"/>
        <v>41791</v>
      </c>
      <c r="V1994" s="694">
        <v>41805</v>
      </c>
      <c r="W1994" s="695">
        <v>1877.37</v>
      </c>
    </row>
    <row r="1995" spans="21:23">
      <c r="U1995" s="693">
        <f t="shared" si="31"/>
        <v>41791</v>
      </c>
      <c r="V1995" s="694">
        <v>41806</v>
      </c>
      <c r="W1995" s="695">
        <v>1877.37</v>
      </c>
    </row>
    <row r="1996" spans="21:23">
      <c r="U1996" s="693">
        <f t="shared" si="31"/>
        <v>41791</v>
      </c>
      <c r="V1996" s="694">
        <v>41807</v>
      </c>
      <c r="W1996" s="695">
        <v>1886.62</v>
      </c>
    </row>
    <row r="1997" spans="21:23">
      <c r="U1997" s="693">
        <f t="shared" si="31"/>
        <v>41791</v>
      </c>
      <c r="V1997" s="694">
        <v>41808</v>
      </c>
      <c r="W1997" s="695">
        <v>1899.9</v>
      </c>
    </row>
    <row r="1998" spans="21:23">
      <c r="U1998" s="693">
        <f t="shared" si="31"/>
        <v>41791</v>
      </c>
      <c r="V1998" s="694">
        <v>41809</v>
      </c>
      <c r="W1998" s="695">
        <v>1895.92</v>
      </c>
    </row>
    <row r="1999" spans="21:23">
      <c r="U1999" s="693">
        <f t="shared" si="31"/>
        <v>41791</v>
      </c>
      <c r="V1999" s="694">
        <v>41810</v>
      </c>
      <c r="W1999" s="695">
        <v>1881.34</v>
      </c>
    </row>
    <row r="2000" spans="21:23">
      <c r="U2000" s="693">
        <f t="shared" si="31"/>
        <v>41791</v>
      </c>
      <c r="V2000" s="694">
        <v>41811</v>
      </c>
      <c r="W2000" s="695">
        <v>1884.56</v>
      </c>
    </row>
    <row r="2001" spans="21:23">
      <c r="U2001" s="693">
        <f t="shared" si="31"/>
        <v>41791</v>
      </c>
      <c r="V2001" s="694">
        <v>41812</v>
      </c>
      <c r="W2001" s="695">
        <v>1884.56</v>
      </c>
    </row>
    <row r="2002" spans="21:23">
      <c r="U2002" s="693">
        <f t="shared" si="31"/>
        <v>41791</v>
      </c>
      <c r="V2002" s="694">
        <v>41813</v>
      </c>
      <c r="W2002" s="695">
        <v>1884.56</v>
      </c>
    </row>
    <row r="2003" spans="21:23">
      <c r="U2003" s="693">
        <f t="shared" si="31"/>
        <v>41791</v>
      </c>
      <c r="V2003" s="694">
        <v>41814</v>
      </c>
      <c r="W2003" s="695">
        <v>1884.56</v>
      </c>
    </row>
    <row r="2004" spans="21:23">
      <c r="U2004" s="693">
        <f t="shared" si="31"/>
        <v>41791</v>
      </c>
      <c r="V2004" s="694">
        <v>41815</v>
      </c>
      <c r="W2004" s="695">
        <v>1886.85</v>
      </c>
    </row>
    <row r="2005" spans="21:23">
      <c r="U2005" s="693">
        <f t="shared" si="31"/>
        <v>41791</v>
      </c>
      <c r="V2005" s="694">
        <v>41816</v>
      </c>
      <c r="W2005" s="695">
        <v>1880.37</v>
      </c>
    </row>
    <row r="2006" spans="21:23">
      <c r="U2006" s="693">
        <f t="shared" si="31"/>
        <v>41791</v>
      </c>
      <c r="V2006" s="694">
        <v>41817</v>
      </c>
      <c r="W2006" s="695">
        <v>1886.01</v>
      </c>
    </row>
    <row r="2007" spans="21:23">
      <c r="U2007" s="693">
        <f t="shared" si="31"/>
        <v>41791</v>
      </c>
      <c r="V2007" s="694">
        <v>41818</v>
      </c>
      <c r="W2007" s="695">
        <v>1881.19</v>
      </c>
    </row>
    <row r="2008" spans="21:23">
      <c r="U2008" s="693">
        <f t="shared" si="31"/>
        <v>41791</v>
      </c>
      <c r="V2008" s="694">
        <v>41819</v>
      </c>
      <c r="W2008" s="695">
        <v>1881.19</v>
      </c>
    </row>
    <row r="2009" spans="21:23">
      <c r="U2009" s="693">
        <f t="shared" si="31"/>
        <v>41791</v>
      </c>
      <c r="V2009" s="694">
        <v>41820</v>
      </c>
      <c r="W2009" s="695">
        <v>1881.19</v>
      </c>
    </row>
    <row r="2010" spans="21:23">
      <c r="U2010" s="693">
        <f t="shared" si="31"/>
        <v>41821</v>
      </c>
      <c r="V2010" s="694">
        <v>41821</v>
      </c>
      <c r="W2010" s="695">
        <v>1881.19</v>
      </c>
    </row>
    <row r="2011" spans="21:23">
      <c r="U2011" s="693">
        <f t="shared" si="31"/>
        <v>41821</v>
      </c>
      <c r="V2011" s="694">
        <v>41822</v>
      </c>
      <c r="W2011" s="695">
        <v>1865.42</v>
      </c>
    </row>
    <row r="2012" spans="21:23">
      <c r="U2012" s="693">
        <f t="shared" si="31"/>
        <v>41821</v>
      </c>
      <c r="V2012" s="694">
        <v>41823</v>
      </c>
      <c r="W2012" s="695">
        <v>1856.73</v>
      </c>
    </row>
    <row r="2013" spans="21:23">
      <c r="U2013" s="693">
        <f t="shared" si="31"/>
        <v>41821</v>
      </c>
      <c r="V2013" s="694">
        <v>41824</v>
      </c>
      <c r="W2013" s="695">
        <v>1848.91</v>
      </c>
    </row>
    <row r="2014" spans="21:23">
      <c r="U2014" s="693">
        <f t="shared" si="31"/>
        <v>41821</v>
      </c>
      <c r="V2014" s="694">
        <v>41825</v>
      </c>
      <c r="W2014" s="695">
        <v>1848.91</v>
      </c>
    </row>
    <row r="2015" spans="21:23">
      <c r="U2015" s="693">
        <f t="shared" si="31"/>
        <v>41821</v>
      </c>
      <c r="V2015" s="694">
        <v>41826</v>
      </c>
      <c r="W2015" s="695">
        <v>1848.91</v>
      </c>
    </row>
    <row r="2016" spans="21:23">
      <c r="U2016" s="693">
        <f t="shared" si="31"/>
        <v>41821</v>
      </c>
      <c r="V2016" s="694">
        <v>41827</v>
      </c>
      <c r="W2016" s="695">
        <v>1848.91</v>
      </c>
    </row>
    <row r="2017" spans="21:23">
      <c r="U2017" s="693">
        <f t="shared" si="31"/>
        <v>41821</v>
      </c>
      <c r="V2017" s="694">
        <v>41828</v>
      </c>
      <c r="W2017" s="695">
        <v>1849.28</v>
      </c>
    </row>
    <row r="2018" spans="21:23">
      <c r="U2018" s="693">
        <f t="shared" si="31"/>
        <v>41821</v>
      </c>
      <c r="V2018" s="694">
        <v>41829</v>
      </c>
      <c r="W2018" s="695">
        <v>1854.24</v>
      </c>
    </row>
    <row r="2019" spans="21:23">
      <c r="U2019" s="693">
        <f t="shared" si="31"/>
        <v>41821</v>
      </c>
      <c r="V2019" s="694">
        <v>41830</v>
      </c>
      <c r="W2019" s="695">
        <v>1859.94</v>
      </c>
    </row>
    <row r="2020" spans="21:23">
      <c r="U2020" s="693">
        <f t="shared" si="31"/>
        <v>41821</v>
      </c>
      <c r="V2020" s="694">
        <v>41831</v>
      </c>
      <c r="W2020" s="695">
        <v>1858.47</v>
      </c>
    </row>
    <row r="2021" spans="21:23">
      <c r="U2021" s="693">
        <f t="shared" si="31"/>
        <v>41821</v>
      </c>
      <c r="V2021" s="694">
        <v>41832</v>
      </c>
      <c r="W2021" s="695">
        <v>1852.57</v>
      </c>
    </row>
    <row r="2022" spans="21:23">
      <c r="U2022" s="693">
        <f t="shared" si="31"/>
        <v>41821</v>
      </c>
      <c r="V2022" s="694">
        <v>41833</v>
      </c>
      <c r="W2022" s="695">
        <v>1852.57</v>
      </c>
    </row>
    <row r="2023" spans="21:23">
      <c r="U2023" s="693">
        <f t="shared" si="31"/>
        <v>41821</v>
      </c>
      <c r="V2023" s="694">
        <v>41834</v>
      </c>
      <c r="W2023" s="695">
        <v>1852.57</v>
      </c>
    </row>
    <row r="2024" spans="21:23">
      <c r="U2024" s="693">
        <f t="shared" si="31"/>
        <v>41821</v>
      </c>
      <c r="V2024" s="694">
        <v>41835</v>
      </c>
      <c r="W2024" s="695">
        <v>1857.93</v>
      </c>
    </row>
    <row r="2025" spans="21:23">
      <c r="U2025" s="693">
        <f t="shared" si="31"/>
        <v>41821</v>
      </c>
      <c r="V2025" s="694">
        <v>41836</v>
      </c>
      <c r="W2025" s="695">
        <v>1867.88</v>
      </c>
    </row>
    <row r="2026" spans="21:23">
      <c r="U2026" s="693">
        <f t="shared" si="31"/>
        <v>41821</v>
      </c>
      <c r="V2026" s="694">
        <v>41837</v>
      </c>
      <c r="W2026" s="695">
        <v>1868.41</v>
      </c>
    </row>
    <row r="2027" spans="21:23">
      <c r="U2027" s="693">
        <f t="shared" si="31"/>
        <v>41821</v>
      </c>
      <c r="V2027" s="694">
        <v>41838</v>
      </c>
      <c r="W2027" s="695">
        <v>1872.27</v>
      </c>
    </row>
    <row r="2028" spans="21:23">
      <c r="U2028" s="693">
        <f t="shared" si="31"/>
        <v>41821</v>
      </c>
      <c r="V2028" s="694">
        <v>41839</v>
      </c>
      <c r="W2028" s="695">
        <v>1871.87</v>
      </c>
    </row>
    <row r="2029" spans="21:23">
      <c r="U2029" s="693">
        <f t="shared" si="31"/>
        <v>41821</v>
      </c>
      <c r="V2029" s="694">
        <v>41840</v>
      </c>
      <c r="W2029" s="695">
        <v>1871.87</v>
      </c>
    </row>
    <row r="2030" spans="21:23">
      <c r="U2030" s="693">
        <f t="shared" si="31"/>
        <v>41821</v>
      </c>
      <c r="V2030" s="694">
        <v>41841</v>
      </c>
      <c r="W2030" s="695">
        <v>1871.87</v>
      </c>
    </row>
    <row r="2031" spans="21:23">
      <c r="U2031" s="693">
        <f t="shared" si="31"/>
        <v>41821</v>
      </c>
      <c r="V2031" s="694">
        <v>41842</v>
      </c>
      <c r="W2031" s="695">
        <v>1861.28</v>
      </c>
    </row>
    <row r="2032" spans="21:23">
      <c r="U2032" s="693">
        <f t="shared" si="31"/>
        <v>41821</v>
      </c>
      <c r="V2032" s="694">
        <v>41843</v>
      </c>
      <c r="W2032" s="695">
        <v>1848.98</v>
      </c>
    </row>
    <row r="2033" spans="21:23">
      <c r="U2033" s="693">
        <f t="shared" si="31"/>
        <v>41821</v>
      </c>
      <c r="V2033" s="694">
        <v>41844</v>
      </c>
      <c r="W2033" s="695">
        <v>1847.85</v>
      </c>
    </row>
    <row r="2034" spans="21:23">
      <c r="U2034" s="693">
        <f t="shared" si="31"/>
        <v>41821</v>
      </c>
      <c r="V2034" s="694">
        <v>41845</v>
      </c>
      <c r="W2034" s="695">
        <v>1846.12</v>
      </c>
    </row>
    <row r="2035" spans="21:23">
      <c r="U2035" s="693">
        <f t="shared" si="31"/>
        <v>41821</v>
      </c>
      <c r="V2035" s="694">
        <v>41846</v>
      </c>
      <c r="W2035" s="695">
        <v>1848.56</v>
      </c>
    </row>
    <row r="2036" spans="21:23">
      <c r="U2036" s="693">
        <f t="shared" si="31"/>
        <v>41821</v>
      </c>
      <c r="V2036" s="694">
        <v>41847</v>
      </c>
      <c r="W2036" s="695">
        <v>1848.56</v>
      </c>
    </row>
    <row r="2037" spans="21:23">
      <c r="U2037" s="693">
        <f t="shared" si="31"/>
        <v>41821</v>
      </c>
      <c r="V2037" s="694">
        <v>41848</v>
      </c>
      <c r="W2037" s="695">
        <v>1848.56</v>
      </c>
    </row>
    <row r="2038" spans="21:23">
      <c r="U2038" s="693">
        <f t="shared" si="31"/>
        <v>41821</v>
      </c>
      <c r="V2038" s="694">
        <v>41849</v>
      </c>
      <c r="W2038" s="695">
        <v>1850.61</v>
      </c>
    </row>
    <row r="2039" spans="21:23">
      <c r="U2039" s="693">
        <f t="shared" si="31"/>
        <v>41821</v>
      </c>
      <c r="V2039" s="694">
        <v>41850</v>
      </c>
      <c r="W2039" s="695">
        <v>1853.3</v>
      </c>
    </row>
    <row r="2040" spans="21:23">
      <c r="U2040" s="693">
        <f t="shared" si="31"/>
        <v>41821</v>
      </c>
      <c r="V2040" s="694">
        <v>41851</v>
      </c>
      <c r="W2040" s="695">
        <v>1872.43</v>
      </c>
    </row>
    <row r="2041" spans="21:23">
      <c r="U2041" s="693">
        <f t="shared" si="31"/>
        <v>41852</v>
      </c>
      <c r="V2041" s="694">
        <v>41852</v>
      </c>
      <c r="W2041" s="695">
        <v>1878.75</v>
      </c>
    </row>
    <row r="2042" spans="21:23">
      <c r="U2042" s="693">
        <f t="shared" si="31"/>
        <v>41852</v>
      </c>
      <c r="V2042" s="694">
        <v>41853</v>
      </c>
      <c r="W2042" s="695">
        <v>1873.65</v>
      </c>
    </row>
    <row r="2043" spans="21:23">
      <c r="U2043" s="693">
        <f t="shared" si="31"/>
        <v>41852</v>
      </c>
      <c r="V2043" s="694">
        <v>41854</v>
      </c>
      <c r="W2043" s="695">
        <v>1873.65</v>
      </c>
    </row>
    <row r="2044" spans="21:23">
      <c r="U2044" s="693">
        <f t="shared" si="31"/>
        <v>41852</v>
      </c>
      <c r="V2044" s="694">
        <v>41855</v>
      </c>
      <c r="W2044" s="695">
        <v>1873.65</v>
      </c>
    </row>
    <row r="2045" spans="21:23">
      <c r="U2045" s="693">
        <f t="shared" si="31"/>
        <v>41852</v>
      </c>
      <c r="V2045" s="694">
        <v>41856</v>
      </c>
      <c r="W2045" s="695">
        <v>1878.68</v>
      </c>
    </row>
    <row r="2046" spans="21:23">
      <c r="U2046" s="693">
        <f t="shared" si="31"/>
        <v>41852</v>
      </c>
      <c r="V2046" s="694">
        <v>41857</v>
      </c>
      <c r="W2046" s="695">
        <v>1892.35</v>
      </c>
    </row>
    <row r="2047" spans="21:23">
      <c r="U2047" s="693">
        <f t="shared" si="31"/>
        <v>41852</v>
      </c>
      <c r="V2047" s="694">
        <v>41858</v>
      </c>
      <c r="W2047" s="695">
        <v>1888.51</v>
      </c>
    </row>
    <row r="2048" spans="21:23">
      <c r="U2048" s="693">
        <f t="shared" si="31"/>
        <v>41852</v>
      </c>
      <c r="V2048" s="694">
        <v>41859</v>
      </c>
      <c r="W2048" s="695">
        <v>1888.51</v>
      </c>
    </row>
    <row r="2049" spans="21:23">
      <c r="U2049" s="693">
        <f t="shared" si="31"/>
        <v>41852</v>
      </c>
      <c r="V2049" s="694">
        <v>41860</v>
      </c>
      <c r="W2049" s="695">
        <v>1891.59</v>
      </c>
    </row>
    <row r="2050" spans="21:23">
      <c r="U2050" s="693">
        <f t="shared" si="31"/>
        <v>41852</v>
      </c>
      <c r="V2050" s="694">
        <v>41861</v>
      </c>
      <c r="W2050" s="695">
        <v>1891.59</v>
      </c>
    </row>
    <row r="2051" spans="21:23">
      <c r="U2051" s="693">
        <f t="shared" ref="U2051:U2114" si="32">+DATE(YEAR(V2051),MONTH(V2051),1)</f>
        <v>41852</v>
      </c>
      <c r="V2051" s="694">
        <v>41862</v>
      </c>
      <c r="W2051" s="695">
        <v>1891.59</v>
      </c>
    </row>
    <row r="2052" spans="21:23">
      <c r="U2052" s="693">
        <f t="shared" si="32"/>
        <v>41852</v>
      </c>
      <c r="V2052" s="694">
        <v>41863</v>
      </c>
      <c r="W2052" s="695">
        <v>1881.62</v>
      </c>
    </row>
    <row r="2053" spans="21:23">
      <c r="U2053" s="693">
        <f t="shared" si="32"/>
        <v>41852</v>
      </c>
      <c r="V2053" s="694">
        <v>41864</v>
      </c>
      <c r="W2053" s="695">
        <v>1877.4</v>
      </c>
    </row>
    <row r="2054" spans="21:23">
      <c r="U2054" s="693">
        <f t="shared" si="32"/>
        <v>41852</v>
      </c>
      <c r="V2054" s="694">
        <v>41865</v>
      </c>
      <c r="W2054" s="695">
        <v>1883.33</v>
      </c>
    </row>
    <row r="2055" spans="21:23">
      <c r="U2055" s="693">
        <f t="shared" si="32"/>
        <v>41852</v>
      </c>
      <c r="V2055" s="694">
        <v>41866</v>
      </c>
      <c r="W2055" s="695">
        <v>1877.77</v>
      </c>
    </row>
    <row r="2056" spans="21:23">
      <c r="U2056" s="693">
        <f t="shared" si="32"/>
        <v>41852</v>
      </c>
      <c r="V2056" s="694">
        <v>41867</v>
      </c>
      <c r="W2056" s="695">
        <v>1884.81</v>
      </c>
    </row>
    <row r="2057" spans="21:23">
      <c r="U2057" s="693">
        <f t="shared" si="32"/>
        <v>41852</v>
      </c>
      <c r="V2057" s="694">
        <v>41868</v>
      </c>
      <c r="W2057" s="695">
        <v>1884.81</v>
      </c>
    </row>
    <row r="2058" spans="21:23">
      <c r="U2058" s="693">
        <f t="shared" si="32"/>
        <v>41852</v>
      </c>
      <c r="V2058" s="694">
        <v>41869</v>
      </c>
      <c r="W2058" s="695">
        <v>1884.81</v>
      </c>
    </row>
    <row r="2059" spans="21:23">
      <c r="U2059" s="693">
        <f t="shared" si="32"/>
        <v>41852</v>
      </c>
      <c r="V2059" s="694">
        <v>41870</v>
      </c>
      <c r="W2059" s="695">
        <v>1884.81</v>
      </c>
    </row>
    <row r="2060" spans="21:23">
      <c r="U2060" s="693">
        <f t="shared" si="32"/>
        <v>41852</v>
      </c>
      <c r="V2060" s="694">
        <v>41871</v>
      </c>
      <c r="W2060" s="695">
        <v>1894.27</v>
      </c>
    </row>
    <row r="2061" spans="21:23">
      <c r="U2061" s="693">
        <f t="shared" si="32"/>
        <v>41852</v>
      </c>
      <c r="V2061" s="694">
        <v>41872</v>
      </c>
      <c r="W2061" s="695">
        <v>1912.43</v>
      </c>
    </row>
    <row r="2062" spans="21:23">
      <c r="U2062" s="693">
        <f t="shared" si="32"/>
        <v>41852</v>
      </c>
      <c r="V2062" s="694">
        <v>41873</v>
      </c>
      <c r="W2062" s="695">
        <v>1919.84</v>
      </c>
    </row>
    <row r="2063" spans="21:23">
      <c r="U2063" s="693">
        <f t="shared" si="32"/>
        <v>41852</v>
      </c>
      <c r="V2063" s="694">
        <v>41874</v>
      </c>
      <c r="W2063" s="695">
        <v>1924.4</v>
      </c>
    </row>
    <row r="2064" spans="21:23">
      <c r="U2064" s="693">
        <f t="shared" si="32"/>
        <v>41852</v>
      </c>
      <c r="V2064" s="694">
        <v>41875</v>
      </c>
      <c r="W2064" s="695">
        <v>1924.4</v>
      </c>
    </row>
    <row r="2065" spans="21:23">
      <c r="U2065" s="693">
        <f t="shared" si="32"/>
        <v>41852</v>
      </c>
      <c r="V2065" s="694">
        <v>41876</v>
      </c>
      <c r="W2065" s="695">
        <v>1924.4</v>
      </c>
    </row>
    <row r="2066" spans="21:23">
      <c r="U2066" s="693">
        <f t="shared" si="32"/>
        <v>41852</v>
      </c>
      <c r="V2066" s="694">
        <v>41877</v>
      </c>
      <c r="W2066" s="695">
        <v>1932.39</v>
      </c>
    </row>
    <row r="2067" spans="21:23">
      <c r="U2067" s="693">
        <f t="shared" si="32"/>
        <v>41852</v>
      </c>
      <c r="V2067" s="694">
        <v>41878</v>
      </c>
      <c r="W2067" s="695">
        <v>1928.67</v>
      </c>
    </row>
    <row r="2068" spans="21:23">
      <c r="U2068" s="693">
        <f t="shared" si="32"/>
        <v>41852</v>
      </c>
      <c r="V2068" s="694">
        <v>41879</v>
      </c>
      <c r="W2068" s="695">
        <v>1926.92</v>
      </c>
    </row>
    <row r="2069" spans="21:23">
      <c r="U2069" s="693">
        <f t="shared" si="32"/>
        <v>41852</v>
      </c>
      <c r="V2069" s="694">
        <v>41880</v>
      </c>
      <c r="W2069" s="695">
        <v>1935.04</v>
      </c>
    </row>
    <row r="2070" spans="21:23">
      <c r="U2070" s="693">
        <f t="shared" si="32"/>
        <v>41852</v>
      </c>
      <c r="V2070" s="694">
        <v>41881</v>
      </c>
      <c r="W2070" s="695">
        <v>1918.62</v>
      </c>
    </row>
    <row r="2071" spans="21:23">
      <c r="U2071" s="693">
        <f t="shared" si="32"/>
        <v>41852</v>
      </c>
      <c r="V2071" s="694">
        <v>41882</v>
      </c>
      <c r="W2071" s="695">
        <v>1918.62</v>
      </c>
    </row>
    <row r="2072" spans="21:23">
      <c r="U2072" s="693">
        <f t="shared" si="32"/>
        <v>41883</v>
      </c>
      <c r="V2072" s="694">
        <v>41883</v>
      </c>
      <c r="W2072" s="695">
        <v>1918.62</v>
      </c>
    </row>
    <row r="2073" spans="21:23">
      <c r="U2073" s="693">
        <f t="shared" si="32"/>
        <v>41883</v>
      </c>
      <c r="V2073" s="694">
        <v>41884</v>
      </c>
      <c r="W2073" s="695">
        <v>1918.62</v>
      </c>
    </row>
    <row r="2074" spans="21:23">
      <c r="U2074" s="693">
        <f t="shared" si="32"/>
        <v>41883</v>
      </c>
      <c r="V2074" s="694">
        <v>41885</v>
      </c>
      <c r="W2074" s="695">
        <v>1931.49</v>
      </c>
    </row>
    <row r="2075" spans="21:23">
      <c r="U2075" s="693">
        <f t="shared" si="32"/>
        <v>41883</v>
      </c>
      <c r="V2075" s="694">
        <v>41886</v>
      </c>
      <c r="W2075" s="695">
        <v>1924.67</v>
      </c>
    </row>
    <row r="2076" spans="21:23">
      <c r="U2076" s="693">
        <f t="shared" si="32"/>
        <v>41883</v>
      </c>
      <c r="V2076" s="694">
        <v>41887</v>
      </c>
      <c r="W2076" s="695">
        <v>1931.45</v>
      </c>
    </row>
    <row r="2077" spans="21:23">
      <c r="U2077" s="693">
        <f t="shared" si="32"/>
        <v>41883</v>
      </c>
      <c r="V2077" s="694">
        <v>41888</v>
      </c>
      <c r="W2077" s="695">
        <v>1935.25</v>
      </c>
    </row>
    <row r="2078" spans="21:23">
      <c r="U2078" s="693">
        <f t="shared" si="32"/>
        <v>41883</v>
      </c>
      <c r="V2078" s="694">
        <v>41889</v>
      </c>
      <c r="W2078" s="695">
        <v>1935.25</v>
      </c>
    </row>
    <row r="2079" spans="21:23">
      <c r="U2079" s="693">
        <f t="shared" si="32"/>
        <v>41883</v>
      </c>
      <c r="V2079" s="694">
        <v>41890</v>
      </c>
      <c r="W2079" s="695">
        <v>1935.25</v>
      </c>
    </row>
    <row r="2080" spans="21:23">
      <c r="U2080" s="693">
        <f t="shared" si="32"/>
        <v>41883</v>
      </c>
      <c r="V2080" s="694">
        <v>41891</v>
      </c>
      <c r="W2080" s="695">
        <v>1942.03</v>
      </c>
    </row>
    <row r="2081" spans="21:23">
      <c r="U2081" s="693">
        <f t="shared" si="32"/>
        <v>41883</v>
      </c>
      <c r="V2081" s="694">
        <v>41892</v>
      </c>
      <c r="W2081" s="695">
        <v>1962.84</v>
      </c>
    </row>
    <row r="2082" spans="21:23">
      <c r="U2082" s="693">
        <f t="shared" si="32"/>
        <v>41883</v>
      </c>
      <c r="V2082" s="694">
        <v>41893</v>
      </c>
      <c r="W2082" s="695">
        <v>1975.82</v>
      </c>
    </row>
    <row r="2083" spans="21:23">
      <c r="U2083" s="693">
        <f t="shared" si="32"/>
        <v>41883</v>
      </c>
      <c r="V2083" s="694">
        <v>41894</v>
      </c>
      <c r="W2083" s="695">
        <v>1979.97</v>
      </c>
    </row>
    <row r="2084" spans="21:23">
      <c r="U2084" s="693">
        <f t="shared" si="32"/>
        <v>41883</v>
      </c>
      <c r="V2084" s="694">
        <v>41895</v>
      </c>
      <c r="W2084" s="695">
        <v>1994.97</v>
      </c>
    </row>
    <row r="2085" spans="21:23">
      <c r="U2085" s="693">
        <f t="shared" si="32"/>
        <v>41883</v>
      </c>
      <c r="V2085" s="694">
        <v>41896</v>
      </c>
      <c r="W2085" s="695">
        <v>1994.97</v>
      </c>
    </row>
    <row r="2086" spans="21:23">
      <c r="U2086" s="693">
        <f t="shared" si="32"/>
        <v>41883</v>
      </c>
      <c r="V2086" s="694">
        <v>41897</v>
      </c>
      <c r="W2086" s="695">
        <v>1994.97</v>
      </c>
    </row>
    <row r="2087" spans="21:23">
      <c r="U2087" s="693">
        <f t="shared" si="32"/>
        <v>41883</v>
      </c>
      <c r="V2087" s="694">
        <v>41898</v>
      </c>
      <c r="W2087" s="695">
        <v>1987.71</v>
      </c>
    </row>
    <row r="2088" spans="21:23">
      <c r="U2088" s="693">
        <f t="shared" si="32"/>
        <v>41883</v>
      </c>
      <c r="V2088" s="694">
        <v>41899</v>
      </c>
      <c r="W2088" s="695">
        <v>1978.08</v>
      </c>
    </row>
    <row r="2089" spans="21:23">
      <c r="U2089" s="693">
        <f t="shared" si="32"/>
        <v>41883</v>
      </c>
      <c r="V2089" s="694">
        <v>41900</v>
      </c>
      <c r="W2089" s="695">
        <v>1975.47</v>
      </c>
    </row>
    <row r="2090" spans="21:23">
      <c r="U2090" s="693">
        <f t="shared" si="32"/>
        <v>41883</v>
      </c>
      <c r="V2090" s="694">
        <v>41901</v>
      </c>
      <c r="W2090" s="695">
        <v>1975.42</v>
      </c>
    </row>
    <row r="2091" spans="21:23">
      <c r="U2091" s="693">
        <f t="shared" si="32"/>
        <v>41883</v>
      </c>
      <c r="V2091" s="694">
        <v>41902</v>
      </c>
      <c r="W2091" s="695">
        <v>1966.89</v>
      </c>
    </row>
    <row r="2092" spans="21:23">
      <c r="U2092" s="693">
        <f t="shared" si="32"/>
        <v>41883</v>
      </c>
      <c r="V2092" s="694">
        <v>41903</v>
      </c>
      <c r="W2092" s="695">
        <v>1966.89</v>
      </c>
    </row>
    <row r="2093" spans="21:23">
      <c r="U2093" s="693">
        <f t="shared" si="32"/>
        <v>41883</v>
      </c>
      <c r="V2093" s="694">
        <v>41904</v>
      </c>
      <c r="W2093" s="695">
        <v>1966.89</v>
      </c>
    </row>
    <row r="2094" spans="21:23">
      <c r="U2094" s="693">
        <f t="shared" si="32"/>
        <v>41883</v>
      </c>
      <c r="V2094" s="694">
        <v>41905</v>
      </c>
      <c r="W2094" s="695">
        <v>1992.68</v>
      </c>
    </row>
    <row r="2095" spans="21:23">
      <c r="U2095" s="693">
        <f t="shared" si="32"/>
        <v>41883</v>
      </c>
      <c r="V2095" s="694">
        <v>41906</v>
      </c>
      <c r="W2095" s="695">
        <v>1997.91</v>
      </c>
    </row>
    <row r="2096" spans="21:23">
      <c r="U2096" s="693">
        <f t="shared" si="32"/>
        <v>41883</v>
      </c>
      <c r="V2096" s="694">
        <v>41907</v>
      </c>
      <c r="W2096" s="695">
        <v>2007.48</v>
      </c>
    </row>
    <row r="2097" spans="21:23">
      <c r="U2097" s="693">
        <f t="shared" si="32"/>
        <v>41883</v>
      </c>
      <c r="V2097" s="694">
        <v>41908</v>
      </c>
      <c r="W2097" s="695">
        <v>2019.76</v>
      </c>
    </row>
    <row r="2098" spans="21:23">
      <c r="U2098" s="693">
        <f t="shared" si="32"/>
        <v>41883</v>
      </c>
      <c r="V2098" s="694">
        <v>41909</v>
      </c>
      <c r="W2098" s="695">
        <v>2023.89</v>
      </c>
    </row>
    <row r="2099" spans="21:23">
      <c r="U2099" s="693">
        <f t="shared" si="32"/>
        <v>41883</v>
      </c>
      <c r="V2099" s="694">
        <v>41910</v>
      </c>
      <c r="W2099" s="695">
        <v>2023.89</v>
      </c>
    </row>
    <row r="2100" spans="21:23">
      <c r="U2100" s="693">
        <f t="shared" si="32"/>
        <v>41883</v>
      </c>
      <c r="V2100" s="694">
        <v>41911</v>
      </c>
      <c r="W2100" s="695">
        <v>2023.89</v>
      </c>
    </row>
    <row r="2101" spans="21:23">
      <c r="U2101" s="693">
        <f t="shared" si="32"/>
        <v>41883</v>
      </c>
      <c r="V2101" s="694">
        <v>41912</v>
      </c>
      <c r="W2101" s="695">
        <v>2028.48</v>
      </c>
    </row>
    <row r="2102" spans="21:23">
      <c r="U2102" s="693">
        <f t="shared" si="32"/>
        <v>41913</v>
      </c>
      <c r="V2102" s="694">
        <v>41913</v>
      </c>
      <c r="W2102" s="695">
        <v>2022</v>
      </c>
    </row>
    <row r="2103" spans="21:23">
      <c r="U2103" s="693">
        <f t="shared" si="32"/>
        <v>41913</v>
      </c>
      <c r="V2103" s="694">
        <v>41914</v>
      </c>
      <c r="W2103" s="695">
        <v>2025.75</v>
      </c>
    </row>
    <row r="2104" spans="21:23">
      <c r="U2104" s="693">
        <f t="shared" si="32"/>
        <v>41913</v>
      </c>
      <c r="V2104" s="694">
        <v>41915</v>
      </c>
      <c r="W2104" s="695">
        <v>2021.49</v>
      </c>
    </row>
    <row r="2105" spans="21:23">
      <c r="U2105" s="693">
        <f t="shared" si="32"/>
        <v>41913</v>
      </c>
      <c r="V2105" s="694">
        <v>41916</v>
      </c>
      <c r="W2105" s="695">
        <v>2026.2</v>
      </c>
    </row>
    <row r="2106" spans="21:23">
      <c r="U2106" s="693">
        <f t="shared" si="32"/>
        <v>41913</v>
      </c>
      <c r="V2106" s="694">
        <v>41917</v>
      </c>
      <c r="W2106" s="695">
        <v>2026.2</v>
      </c>
    </row>
    <row r="2107" spans="21:23">
      <c r="U2107" s="693">
        <f t="shared" si="32"/>
        <v>41913</v>
      </c>
      <c r="V2107" s="694">
        <v>41918</v>
      </c>
      <c r="W2107" s="695">
        <v>2026.2</v>
      </c>
    </row>
    <row r="2108" spans="21:23">
      <c r="U2108" s="693">
        <f t="shared" si="32"/>
        <v>41913</v>
      </c>
      <c r="V2108" s="694">
        <v>41919</v>
      </c>
      <c r="W2108" s="695">
        <v>2028.03</v>
      </c>
    </row>
    <row r="2109" spans="21:23">
      <c r="U2109" s="693">
        <f t="shared" si="32"/>
        <v>41913</v>
      </c>
      <c r="V2109" s="694">
        <v>41920</v>
      </c>
      <c r="W2109" s="695">
        <v>2026.9</v>
      </c>
    </row>
    <row r="2110" spans="21:23">
      <c r="U2110" s="693">
        <f t="shared" si="32"/>
        <v>41913</v>
      </c>
      <c r="V2110" s="694">
        <v>41921</v>
      </c>
      <c r="W2110" s="695">
        <v>2040.31</v>
      </c>
    </row>
    <row r="2111" spans="21:23">
      <c r="U2111" s="693">
        <f t="shared" si="32"/>
        <v>41913</v>
      </c>
      <c r="V2111" s="694">
        <v>41922</v>
      </c>
      <c r="W2111" s="695">
        <v>2041.71</v>
      </c>
    </row>
    <row r="2112" spans="21:23">
      <c r="U2112" s="693">
        <f t="shared" si="32"/>
        <v>41913</v>
      </c>
      <c r="V2112" s="694">
        <v>41923</v>
      </c>
      <c r="W2112" s="695">
        <v>2052.96</v>
      </c>
    </row>
    <row r="2113" spans="21:23">
      <c r="U2113" s="693">
        <f t="shared" si="32"/>
        <v>41913</v>
      </c>
      <c r="V2113" s="694">
        <v>41924</v>
      </c>
      <c r="W2113" s="695">
        <v>2052.96</v>
      </c>
    </row>
    <row r="2114" spans="21:23">
      <c r="U2114" s="693">
        <f t="shared" si="32"/>
        <v>41913</v>
      </c>
      <c r="V2114" s="694">
        <v>41925</v>
      </c>
      <c r="W2114" s="695">
        <v>2052.96</v>
      </c>
    </row>
    <row r="2115" spans="21:23">
      <c r="U2115" s="693">
        <f t="shared" ref="U2115:U2178" si="33">+DATE(YEAR(V2115),MONTH(V2115),1)</f>
        <v>41913</v>
      </c>
      <c r="V2115" s="694">
        <v>41926</v>
      </c>
      <c r="W2115" s="695">
        <v>2052.96</v>
      </c>
    </row>
    <row r="2116" spans="21:23">
      <c r="U2116" s="693">
        <f t="shared" si="33"/>
        <v>41913</v>
      </c>
      <c r="V2116" s="694">
        <v>41927</v>
      </c>
      <c r="W2116" s="695">
        <v>2049.66</v>
      </c>
    </row>
    <row r="2117" spans="21:23">
      <c r="U2117" s="693">
        <f t="shared" si="33"/>
        <v>41913</v>
      </c>
      <c r="V2117" s="694">
        <v>41928</v>
      </c>
      <c r="W2117" s="695">
        <v>2057.6999999999998</v>
      </c>
    </row>
    <row r="2118" spans="21:23">
      <c r="U2118" s="693">
        <f t="shared" si="33"/>
        <v>41913</v>
      </c>
      <c r="V2118" s="694">
        <v>41929</v>
      </c>
      <c r="W2118" s="695">
        <v>2074.4</v>
      </c>
    </row>
    <row r="2119" spans="21:23">
      <c r="U2119" s="693">
        <f t="shared" si="33"/>
        <v>41913</v>
      </c>
      <c r="V2119" s="694">
        <v>41930</v>
      </c>
      <c r="W2119" s="695">
        <v>2064.4299999999998</v>
      </c>
    </row>
    <row r="2120" spans="21:23">
      <c r="U2120" s="693">
        <f t="shared" si="33"/>
        <v>41913</v>
      </c>
      <c r="V2120" s="694">
        <v>41931</v>
      </c>
      <c r="W2120" s="695">
        <v>2064.4299999999998</v>
      </c>
    </row>
    <row r="2121" spans="21:23">
      <c r="U2121" s="693">
        <f t="shared" si="33"/>
        <v>41913</v>
      </c>
      <c r="V2121" s="694">
        <v>41932</v>
      </c>
      <c r="W2121" s="695">
        <v>2064.4299999999998</v>
      </c>
    </row>
    <row r="2122" spans="21:23">
      <c r="U2122" s="693">
        <f t="shared" si="33"/>
        <v>41913</v>
      </c>
      <c r="V2122" s="694">
        <v>41933</v>
      </c>
      <c r="W2122" s="695">
        <v>2065.8200000000002</v>
      </c>
    </row>
    <row r="2123" spans="21:23">
      <c r="U2123" s="693">
        <f t="shared" si="33"/>
        <v>41913</v>
      </c>
      <c r="V2123" s="694">
        <v>41934</v>
      </c>
      <c r="W2123" s="695">
        <v>2048.44</v>
      </c>
    </row>
    <row r="2124" spans="21:23">
      <c r="U2124" s="693">
        <f t="shared" si="33"/>
        <v>41913</v>
      </c>
      <c r="V2124" s="694">
        <v>41935</v>
      </c>
      <c r="W2124" s="695">
        <v>2049.9</v>
      </c>
    </row>
    <row r="2125" spans="21:23">
      <c r="U2125" s="693">
        <f t="shared" si="33"/>
        <v>41913</v>
      </c>
      <c r="V2125" s="694">
        <v>41936</v>
      </c>
      <c r="W2125" s="695">
        <v>2053.39</v>
      </c>
    </row>
    <row r="2126" spans="21:23">
      <c r="U2126" s="693">
        <f t="shared" si="33"/>
        <v>41913</v>
      </c>
      <c r="V2126" s="694">
        <v>41937</v>
      </c>
      <c r="W2126" s="695">
        <v>2065.38</v>
      </c>
    </row>
    <row r="2127" spans="21:23">
      <c r="U2127" s="693">
        <f t="shared" si="33"/>
        <v>41913</v>
      </c>
      <c r="V2127" s="694">
        <v>41938</v>
      </c>
      <c r="W2127" s="695">
        <v>2065.38</v>
      </c>
    </row>
    <row r="2128" spans="21:23">
      <c r="U2128" s="693">
        <f t="shared" si="33"/>
        <v>41913</v>
      </c>
      <c r="V2128" s="694">
        <v>41939</v>
      </c>
      <c r="W2128" s="695">
        <v>2065.38</v>
      </c>
    </row>
    <row r="2129" spans="21:23">
      <c r="U2129" s="693">
        <f t="shared" si="33"/>
        <v>41913</v>
      </c>
      <c r="V2129" s="694">
        <v>41940</v>
      </c>
      <c r="W2129" s="695">
        <v>2069.7199999999998</v>
      </c>
    </row>
    <row r="2130" spans="21:23">
      <c r="U2130" s="693">
        <f t="shared" si="33"/>
        <v>41913</v>
      </c>
      <c r="V2130" s="694">
        <v>41941</v>
      </c>
      <c r="W2130" s="695">
        <v>2055.4299999999998</v>
      </c>
    </row>
    <row r="2131" spans="21:23">
      <c r="U2131" s="693">
        <f t="shared" si="33"/>
        <v>41913</v>
      </c>
      <c r="V2131" s="694">
        <v>41942</v>
      </c>
      <c r="W2131" s="695">
        <v>2044.55</v>
      </c>
    </row>
    <row r="2132" spans="21:23">
      <c r="U2132" s="693">
        <f t="shared" si="33"/>
        <v>41913</v>
      </c>
      <c r="V2132" s="694">
        <v>41943</v>
      </c>
      <c r="W2132" s="695">
        <v>2050.52</v>
      </c>
    </row>
    <row r="2133" spans="21:23">
      <c r="U2133" s="693">
        <f t="shared" si="33"/>
        <v>41944</v>
      </c>
      <c r="V2133" s="694">
        <v>41944</v>
      </c>
      <c r="W2133" s="695">
        <v>2061.92</v>
      </c>
    </row>
    <row r="2134" spans="21:23">
      <c r="U2134" s="693">
        <f t="shared" si="33"/>
        <v>41944</v>
      </c>
      <c r="V2134" s="694">
        <v>41945</v>
      </c>
      <c r="W2134" s="695">
        <v>2061.92</v>
      </c>
    </row>
    <row r="2135" spans="21:23">
      <c r="U2135" s="693">
        <f t="shared" si="33"/>
        <v>41944</v>
      </c>
      <c r="V2135" s="694">
        <v>41946</v>
      </c>
      <c r="W2135" s="695">
        <v>2061.92</v>
      </c>
    </row>
    <row r="2136" spans="21:23">
      <c r="U2136" s="693">
        <f t="shared" si="33"/>
        <v>41944</v>
      </c>
      <c r="V2136" s="694">
        <v>41947</v>
      </c>
      <c r="W2136" s="695">
        <v>2061.92</v>
      </c>
    </row>
    <row r="2137" spans="21:23">
      <c r="U2137" s="693">
        <f t="shared" si="33"/>
        <v>41944</v>
      </c>
      <c r="V2137" s="694">
        <v>41948</v>
      </c>
      <c r="W2137" s="695">
        <v>2076.9899999999998</v>
      </c>
    </row>
    <row r="2138" spans="21:23">
      <c r="U2138" s="693">
        <f t="shared" si="33"/>
        <v>41944</v>
      </c>
      <c r="V2138" s="694">
        <v>41949</v>
      </c>
      <c r="W2138" s="695">
        <v>2081.2399999999998</v>
      </c>
    </row>
    <row r="2139" spans="21:23">
      <c r="U2139" s="693">
        <f t="shared" si="33"/>
        <v>41944</v>
      </c>
      <c r="V2139" s="694">
        <v>41950</v>
      </c>
      <c r="W2139" s="695">
        <v>2086.86</v>
      </c>
    </row>
    <row r="2140" spans="21:23">
      <c r="U2140" s="693">
        <f t="shared" si="33"/>
        <v>41944</v>
      </c>
      <c r="V2140" s="694">
        <v>41951</v>
      </c>
      <c r="W2140" s="695">
        <v>2103.25</v>
      </c>
    </row>
    <row r="2141" spans="21:23">
      <c r="U2141" s="693">
        <f t="shared" si="33"/>
        <v>41944</v>
      </c>
      <c r="V2141" s="694">
        <v>41952</v>
      </c>
      <c r="W2141" s="695">
        <v>2103.25</v>
      </c>
    </row>
    <row r="2142" spans="21:23">
      <c r="U2142" s="693">
        <f t="shared" si="33"/>
        <v>41944</v>
      </c>
      <c r="V2142" s="694">
        <v>41953</v>
      </c>
      <c r="W2142" s="695">
        <v>2103.25</v>
      </c>
    </row>
    <row r="2143" spans="21:23">
      <c r="U2143" s="693">
        <f t="shared" si="33"/>
        <v>41944</v>
      </c>
      <c r="V2143" s="694">
        <v>41954</v>
      </c>
      <c r="W2143" s="695">
        <v>2103.12</v>
      </c>
    </row>
    <row r="2144" spans="21:23">
      <c r="U2144" s="693">
        <f t="shared" si="33"/>
        <v>41944</v>
      </c>
      <c r="V2144" s="694">
        <v>41955</v>
      </c>
      <c r="W2144" s="695">
        <v>2103.12</v>
      </c>
    </row>
    <row r="2145" spans="21:23">
      <c r="U2145" s="693">
        <f t="shared" si="33"/>
        <v>41944</v>
      </c>
      <c r="V2145" s="694">
        <v>41956</v>
      </c>
      <c r="W2145" s="695">
        <v>2115.59</v>
      </c>
    </row>
    <row r="2146" spans="21:23">
      <c r="U2146" s="693">
        <f t="shared" si="33"/>
        <v>41944</v>
      </c>
      <c r="V2146" s="694">
        <v>41957</v>
      </c>
      <c r="W2146" s="695">
        <v>2133.0300000000002</v>
      </c>
    </row>
    <row r="2147" spans="21:23">
      <c r="U2147" s="693">
        <f t="shared" si="33"/>
        <v>41944</v>
      </c>
      <c r="V2147" s="694">
        <v>41958</v>
      </c>
      <c r="W2147" s="695">
        <v>2160.4699999999998</v>
      </c>
    </row>
    <row r="2148" spans="21:23">
      <c r="U2148" s="693">
        <f t="shared" si="33"/>
        <v>41944</v>
      </c>
      <c r="V2148" s="694">
        <v>41959</v>
      </c>
      <c r="W2148" s="695">
        <v>2160.4699999999998</v>
      </c>
    </row>
    <row r="2149" spans="21:23">
      <c r="U2149" s="693">
        <f t="shared" si="33"/>
        <v>41944</v>
      </c>
      <c r="V2149" s="694">
        <v>41960</v>
      </c>
      <c r="W2149" s="695">
        <v>2160.4699999999998</v>
      </c>
    </row>
    <row r="2150" spans="21:23">
      <c r="U2150" s="693">
        <f t="shared" si="33"/>
        <v>41944</v>
      </c>
      <c r="V2150" s="694">
        <v>41961</v>
      </c>
      <c r="W2150" s="695">
        <v>2160.4699999999998</v>
      </c>
    </row>
    <row r="2151" spans="21:23">
      <c r="U2151" s="693">
        <f t="shared" si="33"/>
        <v>41944</v>
      </c>
      <c r="V2151" s="694">
        <v>41962</v>
      </c>
      <c r="W2151" s="695">
        <v>2158.58</v>
      </c>
    </row>
    <row r="2152" spans="21:23">
      <c r="U2152" s="693">
        <f t="shared" si="33"/>
        <v>41944</v>
      </c>
      <c r="V2152" s="694">
        <v>41963</v>
      </c>
      <c r="W2152" s="695">
        <v>2156.73</v>
      </c>
    </row>
    <row r="2153" spans="21:23">
      <c r="U2153" s="693">
        <f t="shared" si="33"/>
        <v>41944</v>
      </c>
      <c r="V2153" s="694">
        <v>41964</v>
      </c>
      <c r="W2153" s="695">
        <v>2156.9299999999998</v>
      </c>
    </row>
    <row r="2154" spans="21:23">
      <c r="U2154" s="693">
        <f t="shared" si="33"/>
        <v>41944</v>
      </c>
      <c r="V2154" s="694">
        <v>41965</v>
      </c>
      <c r="W2154" s="695">
        <v>2142.02</v>
      </c>
    </row>
    <row r="2155" spans="21:23">
      <c r="U2155" s="693">
        <f t="shared" si="33"/>
        <v>41944</v>
      </c>
      <c r="V2155" s="694">
        <v>41966</v>
      </c>
      <c r="W2155" s="695">
        <v>2142.02</v>
      </c>
    </row>
    <row r="2156" spans="21:23">
      <c r="U2156" s="693">
        <f t="shared" si="33"/>
        <v>41944</v>
      </c>
      <c r="V2156" s="694">
        <v>41967</v>
      </c>
      <c r="W2156" s="695">
        <v>2142.02</v>
      </c>
    </row>
    <row r="2157" spans="21:23">
      <c r="U2157" s="693">
        <f t="shared" si="33"/>
        <v>41944</v>
      </c>
      <c r="V2157" s="694">
        <v>41968</v>
      </c>
      <c r="W2157" s="695">
        <v>2158.12</v>
      </c>
    </row>
    <row r="2158" spans="21:23">
      <c r="U2158" s="693">
        <f t="shared" si="33"/>
        <v>41944</v>
      </c>
      <c r="V2158" s="694">
        <v>41969</v>
      </c>
      <c r="W2158" s="695">
        <v>2162.15</v>
      </c>
    </row>
    <row r="2159" spans="21:23">
      <c r="U2159" s="693">
        <f t="shared" si="33"/>
        <v>41944</v>
      </c>
      <c r="V2159" s="694">
        <v>41970</v>
      </c>
      <c r="W2159" s="695">
        <v>2165.15</v>
      </c>
    </row>
    <row r="2160" spans="21:23">
      <c r="U2160" s="693">
        <f t="shared" si="33"/>
        <v>41944</v>
      </c>
      <c r="V2160" s="694">
        <v>41971</v>
      </c>
      <c r="W2160" s="695">
        <v>2165.15</v>
      </c>
    </row>
    <row r="2161" spans="21:23">
      <c r="U2161" s="693">
        <f t="shared" si="33"/>
        <v>41944</v>
      </c>
      <c r="V2161" s="694">
        <v>41972</v>
      </c>
      <c r="W2161" s="695">
        <v>2206.19</v>
      </c>
    </row>
    <row r="2162" spans="21:23">
      <c r="U2162" s="693">
        <f t="shared" si="33"/>
        <v>41944</v>
      </c>
      <c r="V2162" s="694">
        <v>41973</v>
      </c>
      <c r="W2162" s="695">
        <v>2206.19</v>
      </c>
    </row>
    <row r="2163" spans="21:23">
      <c r="U2163" s="693">
        <f t="shared" si="33"/>
        <v>41974</v>
      </c>
      <c r="V2163" s="694">
        <v>41974</v>
      </c>
      <c r="W2163" s="695">
        <v>2206.19</v>
      </c>
    </row>
    <row r="2164" spans="21:23">
      <c r="U2164" s="693">
        <f t="shared" si="33"/>
        <v>41974</v>
      </c>
      <c r="V2164" s="694">
        <v>41975</v>
      </c>
      <c r="W2164" s="695">
        <v>2252.36</v>
      </c>
    </row>
    <row r="2165" spans="21:23">
      <c r="U2165" s="693">
        <f t="shared" si="33"/>
        <v>41974</v>
      </c>
      <c r="V2165" s="694">
        <v>41976</v>
      </c>
      <c r="W2165" s="695">
        <v>2293.4699999999998</v>
      </c>
    </row>
    <row r="2166" spans="21:23">
      <c r="U2166" s="693">
        <f t="shared" si="33"/>
        <v>41974</v>
      </c>
      <c r="V2166" s="694">
        <v>41977</v>
      </c>
      <c r="W2166" s="695">
        <v>2286.0300000000002</v>
      </c>
    </row>
    <row r="2167" spans="21:23">
      <c r="U2167" s="693">
        <f t="shared" si="33"/>
        <v>41974</v>
      </c>
      <c r="V2167" s="694">
        <v>41978</v>
      </c>
      <c r="W2167" s="695">
        <v>2284.2399999999998</v>
      </c>
    </row>
    <row r="2168" spans="21:23">
      <c r="U2168" s="693">
        <f t="shared" si="33"/>
        <v>41974</v>
      </c>
      <c r="V2168" s="694">
        <v>41979</v>
      </c>
      <c r="W2168" s="695">
        <v>2304.12</v>
      </c>
    </row>
    <row r="2169" spans="21:23">
      <c r="U2169" s="693">
        <f t="shared" si="33"/>
        <v>41974</v>
      </c>
      <c r="V2169" s="694">
        <v>41980</v>
      </c>
      <c r="W2169" s="695">
        <v>2304.12</v>
      </c>
    </row>
    <row r="2170" spans="21:23">
      <c r="U2170" s="693">
        <f t="shared" si="33"/>
        <v>41974</v>
      </c>
      <c r="V2170" s="694">
        <v>41981</v>
      </c>
      <c r="W2170" s="695">
        <v>2304.12</v>
      </c>
    </row>
    <row r="2171" spans="21:23">
      <c r="U2171" s="693">
        <f t="shared" si="33"/>
        <v>41974</v>
      </c>
      <c r="V2171" s="694">
        <v>41982</v>
      </c>
      <c r="W2171" s="695">
        <v>2304.12</v>
      </c>
    </row>
    <row r="2172" spans="21:23">
      <c r="U2172" s="693">
        <f t="shared" si="33"/>
        <v>41974</v>
      </c>
      <c r="V2172" s="694">
        <v>41983</v>
      </c>
      <c r="W2172" s="695">
        <v>2350.0100000000002</v>
      </c>
    </row>
    <row r="2173" spans="21:23">
      <c r="U2173" s="693">
        <f t="shared" si="33"/>
        <v>41974</v>
      </c>
      <c r="V2173" s="694">
        <v>41984</v>
      </c>
      <c r="W2173" s="695">
        <v>2381.96</v>
      </c>
    </row>
    <row r="2174" spans="21:23">
      <c r="U2174" s="693">
        <f t="shared" si="33"/>
        <v>41974</v>
      </c>
      <c r="V2174" s="694">
        <v>41985</v>
      </c>
      <c r="W2174" s="695">
        <v>2423.56</v>
      </c>
    </row>
    <row r="2175" spans="21:23">
      <c r="U2175" s="693">
        <f t="shared" si="33"/>
        <v>41974</v>
      </c>
      <c r="V2175" s="694">
        <v>41986</v>
      </c>
      <c r="W2175" s="695">
        <v>2405.31</v>
      </c>
    </row>
    <row r="2176" spans="21:23">
      <c r="U2176" s="693">
        <f t="shared" si="33"/>
        <v>41974</v>
      </c>
      <c r="V2176" s="694">
        <v>41987</v>
      </c>
      <c r="W2176" s="695">
        <v>2405.31</v>
      </c>
    </row>
    <row r="2177" spans="21:23">
      <c r="U2177" s="693">
        <f t="shared" si="33"/>
        <v>41974</v>
      </c>
      <c r="V2177" s="694">
        <v>41988</v>
      </c>
      <c r="W2177" s="695">
        <v>2405.31</v>
      </c>
    </row>
    <row r="2178" spans="21:23">
      <c r="U2178" s="693">
        <f t="shared" si="33"/>
        <v>41974</v>
      </c>
      <c r="V2178" s="694">
        <v>41989</v>
      </c>
      <c r="W2178" s="695">
        <v>2414.39</v>
      </c>
    </row>
    <row r="2179" spans="21:23">
      <c r="U2179" s="693">
        <f t="shared" ref="U2179:U2242" si="34">+DATE(YEAR(V2179),MONTH(V2179),1)</f>
        <v>41974</v>
      </c>
      <c r="V2179" s="694">
        <v>41990</v>
      </c>
      <c r="W2179" s="695">
        <v>2446.35</v>
      </c>
    </row>
    <row r="2180" spans="21:23">
      <c r="U2180" s="693">
        <f t="shared" si="34"/>
        <v>41974</v>
      </c>
      <c r="V2180" s="694">
        <v>41991</v>
      </c>
      <c r="W2180" s="695">
        <v>2412.79</v>
      </c>
    </row>
    <row r="2181" spans="21:23">
      <c r="U2181" s="693">
        <f t="shared" si="34"/>
        <v>41974</v>
      </c>
      <c r="V2181" s="694">
        <v>41992</v>
      </c>
      <c r="W2181" s="695">
        <v>2334.98</v>
      </c>
    </row>
    <row r="2182" spans="21:23">
      <c r="U2182" s="693">
        <f t="shared" si="34"/>
        <v>41974</v>
      </c>
      <c r="V2182" s="694">
        <v>41993</v>
      </c>
      <c r="W2182" s="695">
        <v>2297.14</v>
      </c>
    </row>
    <row r="2183" spans="21:23">
      <c r="U2183" s="693">
        <f t="shared" si="34"/>
        <v>41974</v>
      </c>
      <c r="V2183" s="694">
        <v>41994</v>
      </c>
      <c r="W2183" s="695">
        <v>2297.14</v>
      </c>
    </row>
    <row r="2184" spans="21:23">
      <c r="U2184" s="693">
        <f t="shared" si="34"/>
        <v>41974</v>
      </c>
      <c r="V2184" s="694">
        <v>41995</v>
      </c>
      <c r="W2184" s="695">
        <v>2297.14</v>
      </c>
    </row>
    <row r="2185" spans="21:23">
      <c r="U2185" s="693">
        <f t="shared" si="34"/>
        <v>41974</v>
      </c>
      <c r="V2185" s="694">
        <v>41996</v>
      </c>
      <c r="W2185" s="695">
        <v>2316.9299999999998</v>
      </c>
    </row>
    <row r="2186" spans="21:23">
      <c r="U2186" s="693">
        <f t="shared" si="34"/>
        <v>41974</v>
      </c>
      <c r="V2186" s="694">
        <v>41997</v>
      </c>
      <c r="W2186" s="695">
        <v>2342.5700000000002</v>
      </c>
    </row>
    <row r="2187" spans="21:23">
      <c r="U2187" s="693">
        <f t="shared" si="34"/>
        <v>41974</v>
      </c>
      <c r="V2187" s="694">
        <v>41998</v>
      </c>
      <c r="W2187" s="695">
        <v>2346.9</v>
      </c>
    </row>
    <row r="2188" spans="21:23">
      <c r="U2188" s="693">
        <f t="shared" si="34"/>
        <v>41974</v>
      </c>
      <c r="V2188" s="694">
        <v>41999</v>
      </c>
      <c r="W2188" s="695">
        <v>2346.9</v>
      </c>
    </row>
    <row r="2189" spans="21:23">
      <c r="U2189" s="693">
        <f t="shared" si="34"/>
        <v>41974</v>
      </c>
      <c r="V2189" s="694">
        <v>42000</v>
      </c>
      <c r="W2189" s="695">
        <v>2358.46</v>
      </c>
    </row>
    <row r="2190" spans="21:23">
      <c r="U2190" s="693">
        <f t="shared" si="34"/>
        <v>41974</v>
      </c>
      <c r="V2190" s="694">
        <v>42001</v>
      </c>
      <c r="W2190" s="695">
        <v>2358.46</v>
      </c>
    </row>
    <row r="2191" spans="21:23">
      <c r="U2191" s="693">
        <f t="shared" si="34"/>
        <v>41974</v>
      </c>
      <c r="V2191" s="694">
        <v>42002</v>
      </c>
      <c r="W2191" s="695">
        <v>2358.46</v>
      </c>
    </row>
    <row r="2192" spans="21:23">
      <c r="U2192" s="693">
        <f t="shared" si="34"/>
        <v>41974</v>
      </c>
      <c r="V2192" s="694">
        <v>42003</v>
      </c>
      <c r="W2192" s="695">
        <v>2378.56</v>
      </c>
    </row>
    <row r="2193" spans="21:23">
      <c r="U2193" s="693">
        <f t="shared" si="34"/>
        <v>41974</v>
      </c>
      <c r="V2193" s="694">
        <v>42004</v>
      </c>
      <c r="W2193" s="695">
        <v>2392.46</v>
      </c>
    </row>
    <row r="2194" spans="21:23">
      <c r="U2194" s="693">
        <f t="shared" si="34"/>
        <v>42005</v>
      </c>
      <c r="V2194" s="694">
        <v>42005</v>
      </c>
      <c r="W2194" s="695">
        <v>2392.46</v>
      </c>
    </row>
    <row r="2195" spans="21:23">
      <c r="U2195" s="693">
        <f t="shared" si="34"/>
        <v>42005</v>
      </c>
      <c r="V2195" s="694">
        <v>42006</v>
      </c>
      <c r="W2195" s="695">
        <v>2392.46</v>
      </c>
    </row>
    <row r="2196" spans="21:23">
      <c r="U2196" s="693">
        <f t="shared" si="34"/>
        <v>42005</v>
      </c>
      <c r="V2196" s="694">
        <v>42007</v>
      </c>
      <c r="W2196" s="695">
        <v>2383.37</v>
      </c>
    </row>
    <row r="2197" spans="21:23">
      <c r="U2197" s="693">
        <f t="shared" si="34"/>
        <v>42005</v>
      </c>
      <c r="V2197" s="694">
        <v>42008</v>
      </c>
      <c r="W2197" s="695">
        <v>2383.37</v>
      </c>
    </row>
    <row r="2198" spans="21:23">
      <c r="U2198" s="693">
        <f t="shared" si="34"/>
        <v>42005</v>
      </c>
      <c r="V2198" s="694">
        <v>42009</v>
      </c>
      <c r="W2198" s="695">
        <v>2383.37</v>
      </c>
    </row>
    <row r="2199" spans="21:23">
      <c r="U2199" s="693">
        <f t="shared" si="34"/>
        <v>42005</v>
      </c>
      <c r="V2199" s="694">
        <v>42010</v>
      </c>
      <c r="W2199" s="695">
        <v>2412.8200000000002</v>
      </c>
    </row>
    <row r="2200" spans="21:23">
      <c r="U2200" s="693">
        <f t="shared" si="34"/>
        <v>42005</v>
      </c>
      <c r="V2200" s="694">
        <v>42011</v>
      </c>
      <c r="W2200" s="695">
        <v>2452.11</v>
      </c>
    </row>
    <row r="2201" spans="21:23">
      <c r="U2201" s="693">
        <f t="shared" si="34"/>
        <v>42005</v>
      </c>
      <c r="V2201" s="694">
        <v>42012</v>
      </c>
      <c r="W2201" s="695">
        <v>2434.31</v>
      </c>
    </row>
    <row r="2202" spans="21:23">
      <c r="U2202" s="693">
        <f t="shared" si="34"/>
        <v>42005</v>
      </c>
      <c r="V2202" s="694">
        <v>42013</v>
      </c>
      <c r="W2202" s="695">
        <v>2405.0300000000002</v>
      </c>
    </row>
    <row r="2203" spans="21:23">
      <c r="U2203" s="693">
        <f t="shared" si="34"/>
        <v>42005</v>
      </c>
      <c r="V2203" s="694">
        <v>42014</v>
      </c>
      <c r="W2203" s="695">
        <v>2406.71</v>
      </c>
    </row>
    <row r="2204" spans="21:23">
      <c r="U2204" s="693">
        <f t="shared" si="34"/>
        <v>42005</v>
      </c>
      <c r="V2204" s="694">
        <v>42015</v>
      </c>
      <c r="W2204" s="695">
        <v>2406.71</v>
      </c>
    </row>
    <row r="2205" spans="21:23">
      <c r="U2205" s="693">
        <f t="shared" si="34"/>
        <v>42005</v>
      </c>
      <c r="V2205" s="694">
        <v>42016</v>
      </c>
      <c r="W2205" s="695">
        <v>2406.71</v>
      </c>
    </row>
    <row r="2206" spans="21:23">
      <c r="U2206" s="693">
        <f t="shared" si="34"/>
        <v>42005</v>
      </c>
      <c r="V2206" s="694">
        <v>42017</v>
      </c>
      <c r="W2206" s="695">
        <v>2406.71</v>
      </c>
    </row>
    <row r="2207" spans="21:23">
      <c r="U2207" s="693">
        <f t="shared" si="34"/>
        <v>42005</v>
      </c>
      <c r="V2207" s="694">
        <v>42018</v>
      </c>
      <c r="W2207" s="695">
        <v>2442.0300000000002</v>
      </c>
    </row>
    <row r="2208" spans="21:23">
      <c r="U2208" s="693">
        <f t="shared" si="34"/>
        <v>42005</v>
      </c>
      <c r="V2208" s="694">
        <v>42019</v>
      </c>
      <c r="W2208" s="695">
        <v>2438.79</v>
      </c>
    </row>
    <row r="2209" spans="21:23">
      <c r="U2209" s="693">
        <f t="shared" si="34"/>
        <v>42005</v>
      </c>
      <c r="V2209" s="694">
        <v>42020</v>
      </c>
      <c r="W2209" s="695">
        <v>2398.91</v>
      </c>
    </row>
    <row r="2210" spans="21:23">
      <c r="U2210" s="693">
        <f t="shared" si="34"/>
        <v>42005</v>
      </c>
      <c r="V2210" s="694">
        <v>42021</v>
      </c>
      <c r="W2210" s="695">
        <v>2383.91</v>
      </c>
    </row>
    <row r="2211" spans="21:23">
      <c r="U2211" s="693">
        <f t="shared" si="34"/>
        <v>42005</v>
      </c>
      <c r="V2211" s="694">
        <v>42022</v>
      </c>
      <c r="W2211" s="695">
        <v>2383.91</v>
      </c>
    </row>
    <row r="2212" spans="21:23">
      <c r="U2212" s="693">
        <f t="shared" si="34"/>
        <v>42005</v>
      </c>
      <c r="V2212" s="694">
        <v>42023</v>
      </c>
      <c r="W2212" s="695">
        <v>2383.91</v>
      </c>
    </row>
    <row r="2213" spans="21:23">
      <c r="U2213" s="693">
        <f t="shared" si="34"/>
        <v>42005</v>
      </c>
      <c r="V2213" s="694">
        <v>42024</v>
      </c>
      <c r="W2213" s="695">
        <v>2383.91</v>
      </c>
    </row>
    <row r="2214" spans="21:23">
      <c r="U2214" s="693">
        <f t="shared" si="34"/>
        <v>42005</v>
      </c>
      <c r="V2214" s="694">
        <v>42025</v>
      </c>
      <c r="W2214" s="695">
        <v>2373.44</v>
      </c>
    </row>
    <row r="2215" spans="21:23">
      <c r="U2215" s="693">
        <f t="shared" si="34"/>
        <v>42005</v>
      </c>
      <c r="V2215" s="694">
        <v>42026</v>
      </c>
      <c r="W2215" s="695">
        <v>2361.54</v>
      </c>
    </row>
    <row r="2216" spans="21:23">
      <c r="U2216" s="693">
        <f t="shared" si="34"/>
        <v>42005</v>
      </c>
      <c r="V2216" s="694">
        <v>42027</v>
      </c>
      <c r="W2216" s="695">
        <v>2370.75</v>
      </c>
    </row>
    <row r="2217" spans="21:23">
      <c r="U2217" s="693">
        <f t="shared" si="34"/>
        <v>42005</v>
      </c>
      <c r="V2217" s="694">
        <v>42028</v>
      </c>
      <c r="W2217" s="695">
        <v>2386.5</v>
      </c>
    </row>
    <row r="2218" spans="21:23">
      <c r="U2218" s="693">
        <f t="shared" si="34"/>
        <v>42005</v>
      </c>
      <c r="V2218" s="694">
        <v>42029</v>
      </c>
      <c r="W2218" s="695">
        <v>2386.5</v>
      </c>
    </row>
    <row r="2219" spans="21:23">
      <c r="U2219" s="693">
        <f t="shared" si="34"/>
        <v>42005</v>
      </c>
      <c r="V2219" s="694">
        <v>42030</v>
      </c>
      <c r="W2219" s="695">
        <v>2386.5</v>
      </c>
    </row>
    <row r="2220" spans="21:23">
      <c r="U2220" s="693">
        <f t="shared" si="34"/>
        <v>42005</v>
      </c>
      <c r="V2220" s="694">
        <v>42031</v>
      </c>
      <c r="W2220" s="695">
        <v>2386.2800000000002</v>
      </c>
    </row>
    <row r="2221" spans="21:23">
      <c r="U2221" s="693">
        <f t="shared" si="34"/>
        <v>42005</v>
      </c>
      <c r="V2221" s="694">
        <v>42032</v>
      </c>
      <c r="W2221" s="695">
        <v>2381.11</v>
      </c>
    </row>
    <row r="2222" spans="21:23">
      <c r="U2222" s="693">
        <f t="shared" si="34"/>
        <v>42005</v>
      </c>
      <c r="V2222" s="694">
        <v>42033</v>
      </c>
      <c r="W2222" s="695">
        <v>2362.42</v>
      </c>
    </row>
    <row r="2223" spans="21:23">
      <c r="U2223" s="693">
        <f t="shared" si="34"/>
        <v>42005</v>
      </c>
      <c r="V2223" s="694">
        <v>42034</v>
      </c>
      <c r="W2223" s="695">
        <v>2397.35</v>
      </c>
    </row>
    <row r="2224" spans="21:23">
      <c r="U2224" s="693">
        <f t="shared" si="34"/>
        <v>42005</v>
      </c>
      <c r="V2224" s="694">
        <v>42035</v>
      </c>
      <c r="W2224" s="695">
        <v>2441.1</v>
      </c>
    </row>
    <row r="2225" spans="21:23">
      <c r="U2225" s="693">
        <f t="shared" si="34"/>
        <v>42036</v>
      </c>
      <c r="V2225" s="694">
        <v>42036</v>
      </c>
      <c r="W2225" s="695">
        <v>2441.1</v>
      </c>
    </row>
    <row r="2226" spans="21:23">
      <c r="U2226" s="693">
        <f t="shared" si="34"/>
        <v>42036</v>
      </c>
      <c r="V2226" s="694">
        <v>42037</v>
      </c>
      <c r="W2226" s="695">
        <v>2441.1</v>
      </c>
    </row>
    <row r="2227" spans="21:23">
      <c r="U2227" s="693">
        <f t="shared" si="34"/>
        <v>42036</v>
      </c>
      <c r="V2227" s="694">
        <v>42038</v>
      </c>
      <c r="W2227" s="695">
        <v>2407.29</v>
      </c>
    </row>
    <row r="2228" spans="21:23">
      <c r="U2228" s="693">
        <f t="shared" si="34"/>
        <v>42036</v>
      </c>
      <c r="V2228" s="694">
        <v>42039</v>
      </c>
      <c r="W2228" s="695">
        <v>2374.7199999999998</v>
      </c>
    </row>
    <row r="2229" spans="21:23">
      <c r="U2229" s="693">
        <f t="shared" si="34"/>
        <v>42036</v>
      </c>
      <c r="V2229" s="694">
        <v>42040</v>
      </c>
      <c r="W2229" s="695">
        <v>2381.91</v>
      </c>
    </row>
    <row r="2230" spans="21:23">
      <c r="U2230" s="693">
        <f t="shared" si="34"/>
        <v>42036</v>
      </c>
      <c r="V2230" s="694">
        <v>42041</v>
      </c>
      <c r="W2230" s="695">
        <v>2384.5300000000002</v>
      </c>
    </row>
    <row r="2231" spans="21:23">
      <c r="U2231" s="693">
        <f t="shared" si="34"/>
        <v>42036</v>
      </c>
      <c r="V2231" s="694">
        <v>42042</v>
      </c>
      <c r="W2231" s="695">
        <v>2384.7600000000002</v>
      </c>
    </row>
    <row r="2232" spans="21:23">
      <c r="U2232" s="693">
        <f t="shared" si="34"/>
        <v>42036</v>
      </c>
      <c r="V2232" s="694">
        <v>42043</v>
      </c>
      <c r="W2232" s="695">
        <v>2384.7600000000002</v>
      </c>
    </row>
    <row r="2233" spans="21:23">
      <c r="U2233" s="693">
        <f t="shared" si="34"/>
        <v>42036</v>
      </c>
      <c r="V2233" s="694">
        <v>42044</v>
      </c>
      <c r="W2233" s="695">
        <v>2384.7600000000002</v>
      </c>
    </row>
    <row r="2234" spans="21:23">
      <c r="U2234" s="693">
        <f t="shared" si="34"/>
        <v>42036</v>
      </c>
      <c r="V2234" s="694">
        <v>42045</v>
      </c>
      <c r="W2234" s="695">
        <v>2371.31</v>
      </c>
    </row>
    <row r="2235" spans="21:23">
      <c r="U2235" s="693">
        <f t="shared" si="34"/>
        <v>42036</v>
      </c>
      <c r="V2235" s="694">
        <v>42046</v>
      </c>
      <c r="W2235" s="695">
        <v>2380.79</v>
      </c>
    </row>
    <row r="2236" spans="21:23">
      <c r="U2236" s="693">
        <f t="shared" si="34"/>
        <v>42036</v>
      </c>
      <c r="V2236" s="694">
        <v>42047</v>
      </c>
      <c r="W2236" s="695">
        <v>2416.61</v>
      </c>
    </row>
    <row r="2237" spans="21:23">
      <c r="U2237" s="693">
        <f t="shared" si="34"/>
        <v>42036</v>
      </c>
      <c r="V2237" s="694">
        <v>42048</v>
      </c>
      <c r="W2237" s="695">
        <v>2401.0300000000002</v>
      </c>
    </row>
    <row r="2238" spans="21:23">
      <c r="U2238" s="693">
        <f t="shared" si="34"/>
        <v>42036</v>
      </c>
      <c r="V2238" s="694">
        <v>42049</v>
      </c>
      <c r="W2238" s="695">
        <v>2376.23</v>
      </c>
    </row>
    <row r="2239" spans="21:23">
      <c r="U2239" s="693">
        <f t="shared" si="34"/>
        <v>42036</v>
      </c>
      <c r="V2239" s="694">
        <v>42050</v>
      </c>
      <c r="W2239" s="695">
        <v>2376.23</v>
      </c>
    </row>
    <row r="2240" spans="21:23">
      <c r="U2240" s="693">
        <f t="shared" si="34"/>
        <v>42036</v>
      </c>
      <c r="V2240" s="694">
        <v>42051</v>
      </c>
      <c r="W2240" s="695">
        <v>2376.23</v>
      </c>
    </row>
    <row r="2241" spans="21:23">
      <c r="U2241" s="693">
        <f t="shared" si="34"/>
        <v>42036</v>
      </c>
      <c r="V2241" s="694">
        <v>42052</v>
      </c>
      <c r="W2241" s="695">
        <v>2376.23</v>
      </c>
    </row>
    <row r="2242" spans="21:23">
      <c r="U2242" s="693">
        <f t="shared" si="34"/>
        <v>42036</v>
      </c>
      <c r="V2242" s="694">
        <v>42053</v>
      </c>
      <c r="W2242" s="695">
        <v>2416.37</v>
      </c>
    </row>
    <row r="2243" spans="21:23">
      <c r="U2243" s="693">
        <f t="shared" ref="U2243:U2306" si="35">+DATE(YEAR(V2243),MONTH(V2243),1)</f>
        <v>42036</v>
      </c>
      <c r="V2243" s="694">
        <v>42054</v>
      </c>
      <c r="W2243" s="695">
        <v>2429.71</v>
      </c>
    </row>
    <row r="2244" spans="21:23">
      <c r="U2244" s="693">
        <f t="shared" si="35"/>
        <v>42036</v>
      </c>
      <c r="V2244" s="694">
        <v>42055</v>
      </c>
      <c r="W2244" s="695">
        <v>2445.16</v>
      </c>
    </row>
    <row r="2245" spans="21:23">
      <c r="U2245" s="693">
        <f t="shared" si="35"/>
        <v>42036</v>
      </c>
      <c r="V2245" s="694">
        <v>42056</v>
      </c>
      <c r="W2245" s="695">
        <v>2455.54</v>
      </c>
    </row>
    <row r="2246" spans="21:23">
      <c r="U2246" s="693">
        <f t="shared" si="35"/>
        <v>42036</v>
      </c>
      <c r="V2246" s="694">
        <v>42057</v>
      </c>
      <c r="W2246" s="695">
        <v>2455.54</v>
      </c>
    </row>
    <row r="2247" spans="21:23">
      <c r="U2247" s="693">
        <f t="shared" si="35"/>
        <v>42036</v>
      </c>
      <c r="V2247" s="694">
        <v>42058</v>
      </c>
      <c r="W2247" s="695">
        <v>2455.54</v>
      </c>
    </row>
    <row r="2248" spans="21:23">
      <c r="U2248" s="693">
        <f t="shared" si="35"/>
        <v>42036</v>
      </c>
      <c r="V2248" s="694">
        <v>42059</v>
      </c>
      <c r="W2248" s="695">
        <v>2489.81</v>
      </c>
    </row>
    <row r="2249" spans="21:23">
      <c r="U2249" s="693">
        <f t="shared" si="35"/>
        <v>42036</v>
      </c>
      <c r="V2249" s="694">
        <v>42060</v>
      </c>
      <c r="W2249" s="695">
        <v>2500.59</v>
      </c>
    </row>
    <row r="2250" spans="21:23">
      <c r="U2250" s="693">
        <f t="shared" si="35"/>
        <v>42036</v>
      </c>
      <c r="V2250" s="694">
        <v>42061</v>
      </c>
      <c r="W2250" s="695">
        <v>2489.41</v>
      </c>
    </row>
    <row r="2251" spans="21:23">
      <c r="U2251" s="693">
        <f t="shared" si="35"/>
        <v>42036</v>
      </c>
      <c r="V2251" s="694">
        <v>42062</v>
      </c>
      <c r="W2251" s="695">
        <v>2484.58</v>
      </c>
    </row>
    <row r="2252" spans="21:23">
      <c r="U2252" s="693">
        <f t="shared" si="35"/>
        <v>42036</v>
      </c>
      <c r="V2252" s="694">
        <v>42063</v>
      </c>
      <c r="W2252" s="695">
        <v>2496.9899999999998</v>
      </c>
    </row>
    <row r="2253" spans="21:23">
      <c r="U2253" s="693">
        <f t="shared" si="35"/>
        <v>42064</v>
      </c>
      <c r="V2253" s="694">
        <v>42064</v>
      </c>
      <c r="W2253" s="695">
        <v>2496.9899999999998</v>
      </c>
    </row>
    <row r="2254" spans="21:23">
      <c r="U2254" s="693">
        <f t="shared" si="35"/>
        <v>42064</v>
      </c>
      <c r="V2254" s="694">
        <v>42065</v>
      </c>
      <c r="W2254" s="695">
        <v>2496.9899999999998</v>
      </c>
    </row>
    <row r="2255" spans="21:23">
      <c r="U2255" s="693">
        <f t="shared" si="35"/>
        <v>42064</v>
      </c>
      <c r="V2255" s="694">
        <v>42066</v>
      </c>
      <c r="W2255" s="695">
        <v>2522.0300000000002</v>
      </c>
    </row>
    <row r="2256" spans="21:23">
      <c r="U2256" s="693">
        <f t="shared" si="35"/>
        <v>42064</v>
      </c>
      <c r="V2256" s="694">
        <v>42067</v>
      </c>
      <c r="W2256" s="695">
        <v>2555.08</v>
      </c>
    </row>
    <row r="2257" spans="21:23">
      <c r="U2257" s="693">
        <f t="shared" si="35"/>
        <v>42064</v>
      </c>
      <c r="V2257" s="694">
        <v>42068</v>
      </c>
      <c r="W2257" s="695">
        <v>2565.9</v>
      </c>
    </row>
    <row r="2258" spans="21:23">
      <c r="U2258" s="693">
        <f t="shared" si="35"/>
        <v>42064</v>
      </c>
      <c r="V2258" s="694">
        <v>42069</v>
      </c>
      <c r="W2258" s="695">
        <v>2543.4699999999998</v>
      </c>
    </row>
    <row r="2259" spans="21:23">
      <c r="U2259" s="693">
        <f t="shared" si="35"/>
        <v>42064</v>
      </c>
      <c r="V2259" s="694">
        <v>42070</v>
      </c>
      <c r="W2259" s="695">
        <v>2565.61</v>
      </c>
    </row>
    <row r="2260" spans="21:23">
      <c r="U2260" s="693">
        <f t="shared" si="35"/>
        <v>42064</v>
      </c>
      <c r="V2260" s="694">
        <v>42071</v>
      </c>
      <c r="W2260" s="695">
        <v>2565.61</v>
      </c>
    </row>
    <row r="2261" spans="21:23">
      <c r="U2261" s="693">
        <f t="shared" si="35"/>
        <v>42064</v>
      </c>
      <c r="V2261" s="694">
        <v>42072</v>
      </c>
      <c r="W2261" s="695">
        <v>2565.61</v>
      </c>
    </row>
    <row r="2262" spans="21:23">
      <c r="U2262" s="693">
        <f t="shared" si="35"/>
        <v>42064</v>
      </c>
      <c r="V2262" s="694">
        <v>42073</v>
      </c>
      <c r="W2262" s="695">
        <v>2592.86</v>
      </c>
    </row>
    <row r="2263" spans="21:23">
      <c r="U2263" s="693">
        <f t="shared" si="35"/>
        <v>42064</v>
      </c>
      <c r="V2263" s="694">
        <v>42074</v>
      </c>
      <c r="W2263" s="695">
        <v>2618.79</v>
      </c>
    </row>
    <row r="2264" spans="21:23">
      <c r="U2264" s="693">
        <f t="shared" si="35"/>
        <v>42064</v>
      </c>
      <c r="V2264" s="694">
        <v>42075</v>
      </c>
      <c r="W2264" s="695">
        <v>2633.65</v>
      </c>
    </row>
    <row r="2265" spans="21:23">
      <c r="U2265" s="693">
        <f t="shared" si="35"/>
        <v>42064</v>
      </c>
      <c r="V2265" s="694">
        <v>42076</v>
      </c>
      <c r="W2265" s="695">
        <v>2610.08</v>
      </c>
    </row>
    <row r="2266" spans="21:23">
      <c r="U2266" s="693">
        <f t="shared" si="35"/>
        <v>42064</v>
      </c>
      <c r="V2266" s="694">
        <v>42077</v>
      </c>
      <c r="W2266" s="695">
        <v>2661.52</v>
      </c>
    </row>
    <row r="2267" spans="21:23">
      <c r="U2267" s="693">
        <f t="shared" si="35"/>
        <v>42064</v>
      </c>
      <c r="V2267" s="694">
        <v>42078</v>
      </c>
      <c r="W2267" s="695">
        <v>2661.52</v>
      </c>
    </row>
    <row r="2268" spans="21:23">
      <c r="U2268" s="693">
        <f t="shared" si="35"/>
        <v>42064</v>
      </c>
      <c r="V2268" s="694">
        <v>42079</v>
      </c>
      <c r="W2268" s="695">
        <v>2661.52</v>
      </c>
    </row>
    <row r="2269" spans="21:23">
      <c r="U2269" s="693">
        <f t="shared" si="35"/>
        <v>42064</v>
      </c>
      <c r="V2269" s="694">
        <v>42080</v>
      </c>
      <c r="W2269" s="695">
        <v>2675.08</v>
      </c>
    </row>
    <row r="2270" spans="21:23">
      <c r="U2270" s="693">
        <f t="shared" si="35"/>
        <v>42064</v>
      </c>
      <c r="V2270" s="694">
        <v>42081</v>
      </c>
      <c r="W2270" s="695">
        <v>2677.97</v>
      </c>
    </row>
    <row r="2271" spans="21:23">
      <c r="U2271" s="693">
        <f t="shared" si="35"/>
        <v>42064</v>
      </c>
      <c r="V2271" s="694">
        <v>42082</v>
      </c>
      <c r="W2271" s="695">
        <v>2651.49</v>
      </c>
    </row>
    <row r="2272" spans="21:23">
      <c r="U2272" s="693">
        <f t="shared" si="35"/>
        <v>42064</v>
      </c>
      <c r="V2272" s="694">
        <v>42083</v>
      </c>
      <c r="W2272" s="695">
        <v>2613.38</v>
      </c>
    </row>
    <row r="2273" spans="21:23">
      <c r="U2273" s="693">
        <f t="shared" si="35"/>
        <v>42064</v>
      </c>
      <c r="V2273" s="694">
        <v>42084</v>
      </c>
      <c r="W2273" s="695">
        <v>2587.71</v>
      </c>
    </row>
    <row r="2274" spans="21:23">
      <c r="U2274" s="693">
        <f t="shared" si="35"/>
        <v>42064</v>
      </c>
      <c r="V2274" s="694">
        <v>42085</v>
      </c>
      <c r="W2274" s="695">
        <v>2587.71</v>
      </c>
    </row>
    <row r="2275" spans="21:23">
      <c r="U2275" s="693">
        <f t="shared" si="35"/>
        <v>42064</v>
      </c>
      <c r="V2275" s="694">
        <v>42086</v>
      </c>
      <c r="W2275" s="695">
        <v>2587.71</v>
      </c>
    </row>
    <row r="2276" spans="21:23">
      <c r="U2276" s="693">
        <f t="shared" si="35"/>
        <v>42064</v>
      </c>
      <c r="V2276" s="694">
        <v>42087</v>
      </c>
      <c r="W2276" s="695">
        <v>2587.71</v>
      </c>
    </row>
    <row r="2277" spans="21:23">
      <c r="U2277" s="693">
        <f t="shared" si="35"/>
        <v>42064</v>
      </c>
      <c r="V2277" s="694">
        <v>42088</v>
      </c>
      <c r="W2277" s="695">
        <v>2526.79</v>
      </c>
    </row>
    <row r="2278" spans="21:23">
      <c r="U2278" s="693">
        <f t="shared" si="35"/>
        <v>42064</v>
      </c>
      <c r="V2278" s="694">
        <v>42089</v>
      </c>
      <c r="W2278" s="695">
        <v>2535.5500000000002</v>
      </c>
    </row>
    <row r="2279" spans="21:23">
      <c r="U2279" s="693">
        <f t="shared" si="35"/>
        <v>42064</v>
      </c>
      <c r="V2279" s="694">
        <v>42090</v>
      </c>
      <c r="W2279" s="695">
        <v>2551.3000000000002</v>
      </c>
    </row>
    <row r="2280" spans="21:23">
      <c r="U2280" s="693">
        <f t="shared" si="35"/>
        <v>42064</v>
      </c>
      <c r="V2280" s="694">
        <v>42091</v>
      </c>
      <c r="W2280" s="695">
        <v>2556.85</v>
      </c>
    </row>
    <row r="2281" spans="21:23">
      <c r="U2281" s="693">
        <f t="shared" si="35"/>
        <v>42064</v>
      </c>
      <c r="V2281" s="694">
        <v>42092</v>
      </c>
      <c r="W2281" s="695">
        <v>2556.85</v>
      </c>
    </row>
    <row r="2282" spans="21:23">
      <c r="U2282" s="693">
        <f t="shared" si="35"/>
        <v>42064</v>
      </c>
      <c r="V2282" s="694">
        <v>42093</v>
      </c>
      <c r="W2282" s="695">
        <v>2556.85</v>
      </c>
    </row>
    <row r="2283" spans="21:23">
      <c r="U2283" s="693">
        <f t="shared" si="35"/>
        <v>42064</v>
      </c>
      <c r="V2283" s="694">
        <v>42094</v>
      </c>
      <c r="W2283" s="695">
        <v>2576.0500000000002</v>
      </c>
    </row>
    <row r="2284" spans="21:23">
      <c r="U2284" s="693">
        <f t="shared" si="35"/>
        <v>42095</v>
      </c>
      <c r="V2284" s="694">
        <v>42095</v>
      </c>
      <c r="W2284" s="695">
        <v>2598.36</v>
      </c>
    </row>
    <row r="2285" spans="21:23">
      <c r="U2285" s="693">
        <f t="shared" si="35"/>
        <v>42095</v>
      </c>
      <c r="V2285" s="694">
        <v>42096</v>
      </c>
      <c r="W2285" s="695">
        <v>2576.41</v>
      </c>
    </row>
    <row r="2286" spans="21:23">
      <c r="U2286" s="693">
        <f t="shared" si="35"/>
        <v>42095</v>
      </c>
      <c r="V2286" s="694">
        <v>42097</v>
      </c>
      <c r="W2286" s="695">
        <v>2576.41</v>
      </c>
    </row>
    <row r="2287" spans="21:23">
      <c r="U2287" s="693">
        <f t="shared" si="35"/>
        <v>42095</v>
      </c>
      <c r="V2287" s="694">
        <v>42098</v>
      </c>
      <c r="W2287" s="695">
        <v>2576.41</v>
      </c>
    </row>
    <row r="2288" spans="21:23">
      <c r="U2288" s="693">
        <f t="shared" si="35"/>
        <v>42095</v>
      </c>
      <c r="V2288" s="694">
        <v>42099</v>
      </c>
      <c r="W2288" s="695">
        <v>2576.41</v>
      </c>
    </row>
    <row r="2289" spans="21:23">
      <c r="U2289" s="693">
        <f t="shared" si="35"/>
        <v>42095</v>
      </c>
      <c r="V2289" s="694">
        <v>42100</v>
      </c>
      <c r="W2289" s="695">
        <v>2576.41</v>
      </c>
    </row>
    <row r="2290" spans="21:23">
      <c r="U2290" s="693">
        <f t="shared" si="35"/>
        <v>42095</v>
      </c>
      <c r="V2290" s="694">
        <v>42101</v>
      </c>
      <c r="W2290" s="695">
        <v>2522.71</v>
      </c>
    </row>
    <row r="2291" spans="21:23">
      <c r="U2291" s="693">
        <f t="shared" si="35"/>
        <v>42095</v>
      </c>
      <c r="V2291" s="694">
        <v>42102</v>
      </c>
      <c r="W2291" s="695">
        <v>2518.0500000000002</v>
      </c>
    </row>
    <row r="2292" spans="21:23">
      <c r="U2292" s="693">
        <f t="shared" si="35"/>
        <v>42095</v>
      </c>
      <c r="V2292" s="694">
        <v>42103</v>
      </c>
      <c r="W2292" s="695">
        <v>2490.9</v>
      </c>
    </row>
    <row r="2293" spans="21:23">
      <c r="U2293" s="693">
        <f t="shared" si="35"/>
        <v>42095</v>
      </c>
      <c r="V2293" s="694">
        <v>42104</v>
      </c>
      <c r="W2293" s="695">
        <v>2494.77</v>
      </c>
    </row>
    <row r="2294" spans="21:23">
      <c r="U2294" s="693">
        <f t="shared" si="35"/>
        <v>42095</v>
      </c>
      <c r="V2294" s="694">
        <v>42105</v>
      </c>
      <c r="W2294" s="695">
        <v>2516.08</v>
      </c>
    </row>
    <row r="2295" spans="21:23">
      <c r="U2295" s="693">
        <f t="shared" si="35"/>
        <v>42095</v>
      </c>
      <c r="V2295" s="694">
        <v>42106</v>
      </c>
      <c r="W2295" s="695">
        <v>2516.08</v>
      </c>
    </row>
    <row r="2296" spans="21:23">
      <c r="U2296" s="693">
        <f t="shared" si="35"/>
        <v>42095</v>
      </c>
      <c r="V2296" s="694">
        <v>42107</v>
      </c>
      <c r="W2296" s="695">
        <v>2516.08</v>
      </c>
    </row>
    <row r="2297" spans="21:23">
      <c r="U2297" s="693">
        <f t="shared" si="35"/>
        <v>42095</v>
      </c>
      <c r="V2297" s="694">
        <v>42108</v>
      </c>
      <c r="W2297" s="695">
        <v>2537.33</v>
      </c>
    </row>
    <row r="2298" spans="21:23">
      <c r="U2298" s="693">
        <f t="shared" si="35"/>
        <v>42095</v>
      </c>
      <c r="V2298" s="694">
        <v>42109</v>
      </c>
      <c r="W2298" s="695">
        <v>2550.83</v>
      </c>
    </row>
    <row r="2299" spans="21:23">
      <c r="U2299" s="693">
        <f t="shared" si="35"/>
        <v>42095</v>
      </c>
      <c r="V2299" s="694">
        <v>42110</v>
      </c>
      <c r="W2299" s="695">
        <v>2534.63</v>
      </c>
    </row>
    <row r="2300" spans="21:23">
      <c r="U2300" s="693">
        <f t="shared" si="35"/>
        <v>42095</v>
      </c>
      <c r="V2300" s="694">
        <v>42111</v>
      </c>
      <c r="W2300" s="695">
        <v>2493.9299999999998</v>
      </c>
    </row>
    <row r="2301" spans="21:23">
      <c r="U2301" s="693">
        <f t="shared" si="35"/>
        <v>42095</v>
      </c>
      <c r="V2301" s="694">
        <v>42112</v>
      </c>
      <c r="W2301" s="695">
        <v>2495.0100000000002</v>
      </c>
    </row>
    <row r="2302" spans="21:23">
      <c r="U2302" s="693">
        <f t="shared" si="35"/>
        <v>42095</v>
      </c>
      <c r="V2302" s="694">
        <v>42113</v>
      </c>
      <c r="W2302" s="695">
        <v>2495.0100000000002</v>
      </c>
    </row>
    <row r="2303" spans="21:23">
      <c r="U2303" s="693">
        <f t="shared" si="35"/>
        <v>42095</v>
      </c>
      <c r="V2303" s="694">
        <v>42114</v>
      </c>
      <c r="W2303" s="695">
        <v>2495.0100000000002</v>
      </c>
    </row>
    <row r="2304" spans="21:23">
      <c r="U2304" s="693">
        <f t="shared" si="35"/>
        <v>42095</v>
      </c>
      <c r="V2304" s="694">
        <v>42115</v>
      </c>
      <c r="W2304" s="695">
        <v>2487.0700000000002</v>
      </c>
    </row>
    <row r="2305" spans="21:23">
      <c r="U2305" s="693">
        <f t="shared" si="35"/>
        <v>42095</v>
      </c>
      <c r="V2305" s="694">
        <v>42116</v>
      </c>
      <c r="W2305" s="695">
        <v>2469.0300000000002</v>
      </c>
    </row>
    <row r="2306" spans="21:23">
      <c r="U2306" s="693">
        <f t="shared" si="35"/>
        <v>42095</v>
      </c>
      <c r="V2306" s="694">
        <v>42117</v>
      </c>
      <c r="W2306" s="695">
        <v>2488.5</v>
      </c>
    </row>
    <row r="2307" spans="21:23">
      <c r="U2307" s="693">
        <f t="shared" ref="U2307:U2370" si="36">+DATE(YEAR(V2307),MONTH(V2307),1)</f>
        <v>42095</v>
      </c>
      <c r="V2307" s="694">
        <v>42118</v>
      </c>
      <c r="W2307" s="695">
        <v>2471.21</v>
      </c>
    </row>
    <row r="2308" spans="21:23">
      <c r="U2308" s="693">
        <f t="shared" si="36"/>
        <v>42095</v>
      </c>
      <c r="V2308" s="694">
        <v>42119</v>
      </c>
      <c r="W2308" s="695">
        <v>2461.17</v>
      </c>
    </row>
    <row r="2309" spans="21:23">
      <c r="U2309" s="693">
        <f t="shared" si="36"/>
        <v>42095</v>
      </c>
      <c r="V2309" s="694">
        <v>42120</v>
      </c>
      <c r="W2309" s="695">
        <v>2461.17</v>
      </c>
    </row>
    <row r="2310" spans="21:23">
      <c r="U2310" s="693">
        <f t="shared" si="36"/>
        <v>42095</v>
      </c>
      <c r="V2310" s="694">
        <v>42121</v>
      </c>
      <c r="W2310" s="695">
        <v>2461.17</v>
      </c>
    </row>
    <row r="2311" spans="21:23">
      <c r="U2311" s="693">
        <f t="shared" si="36"/>
        <v>42095</v>
      </c>
      <c r="V2311" s="694">
        <v>42122</v>
      </c>
      <c r="W2311" s="695">
        <v>2419.81</v>
      </c>
    </row>
    <row r="2312" spans="21:23">
      <c r="U2312" s="693">
        <f t="shared" si="36"/>
        <v>42095</v>
      </c>
      <c r="V2312" s="694">
        <v>42123</v>
      </c>
      <c r="W2312" s="695">
        <v>2393.42</v>
      </c>
    </row>
    <row r="2313" spans="21:23">
      <c r="U2313" s="693">
        <f t="shared" si="36"/>
        <v>42095</v>
      </c>
      <c r="V2313" s="694">
        <v>42124</v>
      </c>
      <c r="W2313" s="695">
        <v>2388.06</v>
      </c>
    </row>
    <row r="2314" spans="21:23">
      <c r="U2314" s="693">
        <f t="shared" si="36"/>
        <v>42125</v>
      </c>
      <c r="V2314" s="694">
        <v>42125</v>
      </c>
      <c r="W2314" s="695">
        <v>2393.58</v>
      </c>
    </row>
    <row r="2315" spans="21:23">
      <c r="U2315" s="693">
        <f t="shared" si="36"/>
        <v>42125</v>
      </c>
      <c r="V2315" s="694">
        <v>42126</v>
      </c>
      <c r="W2315" s="695">
        <v>2393.58</v>
      </c>
    </row>
    <row r="2316" spans="21:23">
      <c r="U2316" s="693">
        <f t="shared" si="36"/>
        <v>42125</v>
      </c>
      <c r="V2316" s="694">
        <v>42127</v>
      </c>
      <c r="W2316" s="695">
        <v>2393.58</v>
      </c>
    </row>
    <row r="2317" spans="21:23">
      <c r="U2317" s="693">
        <f t="shared" si="36"/>
        <v>42125</v>
      </c>
      <c r="V2317" s="694">
        <v>42128</v>
      </c>
      <c r="W2317" s="695">
        <v>2393.58</v>
      </c>
    </row>
    <row r="2318" spans="21:23">
      <c r="U2318" s="693">
        <f t="shared" si="36"/>
        <v>42125</v>
      </c>
      <c r="V2318" s="694">
        <v>42129</v>
      </c>
      <c r="W2318" s="695">
        <v>2408.17</v>
      </c>
    </row>
    <row r="2319" spans="21:23">
      <c r="U2319" s="693">
        <f t="shared" si="36"/>
        <v>42125</v>
      </c>
      <c r="V2319" s="694">
        <v>42130</v>
      </c>
      <c r="W2319" s="695">
        <v>2386.7199999999998</v>
      </c>
    </row>
    <row r="2320" spans="21:23">
      <c r="U2320" s="693">
        <f t="shared" si="36"/>
        <v>42125</v>
      </c>
      <c r="V2320" s="694">
        <v>42131</v>
      </c>
      <c r="W2320" s="695">
        <v>2362.41</v>
      </c>
    </row>
    <row r="2321" spans="21:23">
      <c r="U2321" s="693">
        <f t="shared" si="36"/>
        <v>42125</v>
      </c>
      <c r="V2321" s="694">
        <v>42132</v>
      </c>
      <c r="W2321" s="695">
        <v>2369.23</v>
      </c>
    </row>
    <row r="2322" spans="21:23">
      <c r="U2322" s="693">
        <f t="shared" si="36"/>
        <v>42125</v>
      </c>
      <c r="V2322" s="694">
        <v>42133</v>
      </c>
      <c r="W2322" s="695">
        <v>2360.58</v>
      </c>
    </row>
    <row r="2323" spans="21:23">
      <c r="U2323" s="693">
        <f t="shared" si="36"/>
        <v>42125</v>
      </c>
      <c r="V2323" s="694">
        <v>42134</v>
      </c>
      <c r="W2323" s="695">
        <v>2360.58</v>
      </c>
    </row>
    <row r="2324" spans="21:23">
      <c r="U2324" s="693">
        <f t="shared" si="36"/>
        <v>42125</v>
      </c>
      <c r="V2324" s="694">
        <v>42135</v>
      </c>
      <c r="W2324" s="695">
        <v>2360.58</v>
      </c>
    </row>
    <row r="2325" spans="21:23">
      <c r="U2325" s="693">
        <f t="shared" si="36"/>
        <v>42125</v>
      </c>
      <c r="V2325" s="694">
        <v>42136</v>
      </c>
      <c r="W2325" s="695">
        <v>2381.5300000000002</v>
      </c>
    </row>
    <row r="2326" spans="21:23">
      <c r="U2326" s="693">
        <f t="shared" si="36"/>
        <v>42125</v>
      </c>
      <c r="V2326" s="694">
        <v>42137</v>
      </c>
      <c r="W2326" s="695">
        <v>2386.77</v>
      </c>
    </row>
    <row r="2327" spans="21:23">
      <c r="U2327" s="693">
        <f t="shared" si="36"/>
        <v>42125</v>
      </c>
      <c r="V2327" s="694">
        <v>42138</v>
      </c>
      <c r="W2327" s="695">
        <v>2377.87</v>
      </c>
    </row>
    <row r="2328" spans="21:23">
      <c r="U2328" s="693">
        <f t="shared" si="36"/>
        <v>42125</v>
      </c>
      <c r="V2328" s="694">
        <v>42139</v>
      </c>
      <c r="W2328" s="695">
        <v>2389.4899999999998</v>
      </c>
    </row>
    <row r="2329" spans="21:23">
      <c r="U2329" s="693">
        <f t="shared" si="36"/>
        <v>42125</v>
      </c>
      <c r="V2329" s="694">
        <v>42140</v>
      </c>
      <c r="W2329" s="695">
        <v>2417.0100000000002</v>
      </c>
    </row>
    <row r="2330" spans="21:23">
      <c r="U2330" s="693">
        <f t="shared" si="36"/>
        <v>42125</v>
      </c>
      <c r="V2330" s="694">
        <v>42141</v>
      </c>
      <c r="W2330" s="695">
        <v>2417.0100000000002</v>
      </c>
    </row>
    <row r="2331" spans="21:23">
      <c r="U2331" s="693">
        <f t="shared" si="36"/>
        <v>42125</v>
      </c>
      <c r="V2331" s="694">
        <v>42142</v>
      </c>
      <c r="W2331" s="695">
        <v>2417.0100000000002</v>
      </c>
    </row>
    <row r="2332" spans="21:23">
      <c r="U2332" s="693">
        <f t="shared" si="36"/>
        <v>42125</v>
      </c>
      <c r="V2332" s="694">
        <v>42143</v>
      </c>
      <c r="W2332" s="695">
        <v>2417.0100000000002</v>
      </c>
    </row>
    <row r="2333" spans="21:23">
      <c r="U2333" s="693">
        <f t="shared" si="36"/>
        <v>42125</v>
      </c>
      <c r="V2333" s="694">
        <v>42144</v>
      </c>
      <c r="W2333" s="695">
        <v>2475.4499999999998</v>
      </c>
    </row>
    <row r="2334" spans="21:23">
      <c r="U2334" s="693">
        <f t="shared" si="36"/>
        <v>42125</v>
      </c>
      <c r="V2334" s="694">
        <v>42145</v>
      </c>
      <c r="W2334" s="695">
        <v>2503.37</v>
      </c>
    </row>
    <row r="2335" spans="21:23">
      <c r="U2335" s="693">
        <f t="shared" si="36"/>
        <v>42125</v>
      </c>
      <c r="V2335" s="694">
        <v>42146</v>
      </c>
      <c r="W2335" s="695">
        <v>2489.39</v>
      </c>
    </row>
    <row r="2336" spans="21:23">
      <c r="U2336" s="693">
        <f t="shared" si="36"/>
        <v>42125</v>
      </c>
      <c r="V2336" s="694">
        <v>42147</v>
      </c>
      <c r="W2336" s="695">
        <v>2500.2199999999998</v>
      </c>
    </row>
    <row r="2337" spans="21:23">
      <c r="U2337" s="693">
        <f t="shared" si="36"/>
        <v>42125</v>
      </c>
      <c r="V2337" s="694">
        <v>42148</v>
      </c>
      <c r="W2337" s="695">
        <v>2500.2199999999998</v>
      </c>
    </row>
    <row r="2338" spans="21:23">
      <c r="U2338" s="693">
        <f t="shared" si="36"/>
        <v>42125</v>
      </c>
      <c r="V2338" s="694">
        <v>42149</v>
      </c>
      <c r="W2338" s="695">
        <v>2500.2199999999998</v>
      </c>
    </row>
    <row r="2339" spans="21:23">
      <c r="U2339" s="693">
        <f t="shared" si="36"/>
        <v>42125</v>
      </c>
      <c r="V2339" s="694">
        <v>42150</v>
      </c>
      <c r="W2339" s="695">
        <v>2500.2199999999998</v>
      </c>
    </row>
    <row r="2340" spans="21:23">
      <c r="U2340" s="693">
        <f t="shared" si="36"/>
        <v>42125</v>
      </c>
      <c r="V2340" s="694">
        <v>42151</v>
      </c>
      <c r="W2340" s="695">
        <v>2542.5300000000002</v>
      </c>
    </row>
    <row r="2341" spans="21:23">
      <c r="U2341" s="693">
        <f t="shared" si="36"/>
        <v>42125</v>
      </c>
      <c r="V2341" s="694">
        <v>42152</v>
      </c>
      <c r="W2341" s="695">
        <v>2548.13</v>
      </c>
    </row>
    <row r="2342" spans="21:23">
      <c r="U2342" s="693">
        <f t="shared" si="36"/>
        <v>42125</v>
      </c>
      <c r="V2342" s="694">
        <v>42153</v>
      </c>
      <c r="W2342" s="695">
        <v>2549.9699999999998</v>
      </c>
    </row>
    <row r="2343" spans="21:23">
      <c r="U2343" s="693">
        <f t="shared" si="36"/>
        <v>42125</v>
      </c>
      <c r="V2343" s="694">
        <v>42154</v>
      </c>
      <c r="W2343" s="696">
        <v>2533.79</v>
      </c>
    </row>
    <row r="2344" spans="21:23">
      <c r="U2344" s="693">
        <f t="shared" si="36"/>
        <v>42125</v>
      </c>
      <c r="V2344" s="694">
        <v>42155</v>
      </c>
      <c r="W2344" s="696">
        <v>2533.79</v>
      </c>
    </row>
    <row r="2345" spans="21:23">
      <c r="U2345" s="693">
        <f t="shared" si="36"/>
        <v>42156</v>
      </c>
      <c r="V2345" s="694">
        <v>42156</v>
      </c>
      <c r="W2345" s="696">
        <v>2533.79</v>
      </c>
    </row>
    <row r="2346" spans="21:23">
      <c r="U2346" s="693">
        <f t="shared" si="36"/>
        <v>42156</v>
      </c>
      <c r="V2346" s="694">
        <v>42157</v>
      </c>
      <c r="W2346" s="696">
        <v>2549.29</v>
      </c>
    </row>
    <row r="2347" spans="21:23">
      <c r="U2347" s="693">
        <f t="shared" si="36"/>
        <v>42156</v>
      </c>
      <c r="V2347" s="694">
        <v>42158</v>
      </c>
      <c r="W2347" s="696">
        <v>2554.44</v>
      </c>
    </row>
    <row r="2348" spans="21:23">
      <c r="U2348" s="693">
        <f t="shared" si="36"/>
        <v>42156</v>
      </c>
      <c r="V2348" s="694">
        <v>42159</v>
      </c>
      <c r="W2348" s="696">
        <v>2571.92</v>
      </c>
    </row>
    <row r="2349" spans="21:23">
      <c r="U2349" s="693">
        <f t="shared" si="36"/>
        <v>42156</v>
      </c>
      <c r="V2349" s="694">
        <v>42160</v>
      </c>
      <c r="W2349" s="696">
        <v>2588.56</v>
      </c>
    </row>
    <row r="2350" spans="21:23">
      <c r="U2350" s="693">
        <f t="shared" si="36"/>
        <v>42156</v>
      </c>
      <c r="V2350" s="694">
        <v>42161</v>
      </c>
      <c r="W2350" s="696">
        <v>2623.66</v>
      </c>
    </row>
    <row r="2351" spans="21:23">
      <c r="U2351" s="693">
        <f t="shared" si="36"/>
        <v>42156</v>
      </c>
      <c r="V2351" s="694">
        <v>42162</v>
      </c>
      <c r="W2351" s="696">
        <v>2623.66</v>
      </c>
    </row>
    <row r="2352" spans="21:23">
      <c r="U2352" s="693">
        <f t="shared" si="36"/>
        <v>42156</v>
      </c>
      <c r="V2352" s="694">
        <v>42163</v>
      </c>
      <c r="W2352" s="696">
        <v>2623.66</v>
      </c>
    </row>
    <row r="2353" spans="21:23">
      <c r="U2353" s="693">
        <f t="shared" si="36"/>
        <v>42156</v>
      </c>
      <c r="V2353" s="694">
        <v>42164</v>
      </c>
      <c r="W2353" s="696">
        <v>2623.66</v>
      </c>
    </row>
    <row r="2354" spans="21:23">
      <c r="U2354" s="693">
        <f t="shared" si="36"/>
        <v>42156</v>
      </c>
      <c r="V2354" s="694">
        <v>42165</v>
      </c>
      <c r="W2354" s="696">
        <v>2569.17</v>
      </c>
    </row>
    <row r="2355" spans="21:23">
      <c r="U2355" s="693">
        <f t="shared" si="36"/>
        <v>42156</v>
      </c>
      <c r="V2355" s="694">
        <v>42166</v>
      </c>
      <c r="W2355" s="697">
        <v>2523</v>
      </c>
    </row>
    <row r="2356" spans="21:23">
      <c r="U2356" s="693">
        <f t="shared" si="36"/>
        <v>42156</v>
      </c>
      <c r="V2356" s="694">
        <v>42167</v>
      </c>
      <c r="W2356" s="696">
        <v>2538.5500000000002</v>
      </c>
    </row>
    <row r="2357" spans="21:23">
      <c r="U2357" s="693">
        <f t="shared" si="36"/>
        <v>42156</v>
      </c>
      <c r="V2357" s="694">
        <v>42168</v>
      </c>
      <c r="W2357" s="696">
        <v>2535.91</v>
      </c>
    </row>
    <row r="2358" spans="21:23">
      <c r="U2358" s="693">
        <f t="shared" si="36"/>
        <v>42156</v>
      </c>
      <c r="V2358" s="694">
        <v>42169</v>
      </c>
      <c r="W2358" s="696">
        <v>2535.91</v>
      </c>
    </row>
    <row r="2359" spans="21:23">
      <c r="U2359" s="693">
        <f t="shared" si="36"/>
        <v>42156</v>
      </c>
      <c r="V2359" s="694">
        <v>42170</v>
      </c>
      <c r="W2359" s="696">
        <v>2535.91</v>
      </c>
    </row>
    <row r="2360" spans="21:23">
      <c r="U2360" s="693">
        <f t="shared" si="36"/>
        <v>42156</v>
      </c>
      <c r="V2360" s="694">
        <v>42171</v>
      </c>
      <c r="W2360" s="696">
        <v>2535.91</v>
      </c>
    </row>
    <row r="2361" spans="21:23">
      <c r="U2361" s="693">
        <f t="shared" si="36"/>
        <v>42156</v>
      </c>
      <c r="V2361" s="694">
        <v>42172</v>
      </c>
      <c r="W2361" s="696">
        <v>2531.7199999999998</v>
      </c>
    </row>
    <row r="2362" spans="21:23">
      <c r="U2362" s="693">
        <f t="shared" si="36"/>
        <v>42156</v>
      </c>
      <c r="V2362" s="694">
        <v>42173</v>
      </c>
      <c r="W2362" s="696">
        <v>2550.4299999999998</v>
      </c>
    </row>
    <row r="2363" spans="21:23">
      <c r="U2363" s="693">
        <f t="shared" si="36"/>
        <v>42156</v>
      </c>
      <c r="V2363" s="694">
        <v>42174</v>
      </c>
      <c r="W2363" s="696">
        <v>2528.85</v>
      </c>
    </row>
    <row r="2364" spans="21:23">
      <c r="U2364" s="693">
        <f t="shared" si="36"/>
        <v>42156</v>
      </c>
      <c r="V2364" s="694">
        <v>42175</v>
      </c>
      <c r="W2364" s="696">
        <v>2548.1999999999998</v>
      </c>
    </row>
    <row r="2365" spans="21:23">
      <c r="U2365" s="693">
        <f t="shared" si="36"/>
        <v>42156</v>
      </c>
      <c r="V2365" s="694">
        <v>42176</v>
      </c>
      <c r="W2365" s="696">
        <v>2548.1999999999998</v>
      </c>
    </row>
    <row r="2366" spans="21:23">
      <c r="U2366" s="693">
        <f t="shared" si="36"/>
        <v>42156</v>
      </c>
      <c r="V2366" s="694">
        <v>42177</v>
      </c>
      <c r="W2366" s="696">
        <v>2548.1999999999998</v>
      </c>
    </row>
    <row r="2367" spans="21:23">
      <c r="U2367" s="693">
        <f t="shared" si="36"/>
        <v>42156</v>
      </c>
      <c r="V2367" s="694">
        <v>42178</v>
      </c>
      <c r="W2367" s="696">
        <v>2537.6799999999998</v>
      </c>
    </row>
    <row r="2368" spans="21:23">
      <c r="U2368" s="693">
        <f t="shared" si="36"/>
        <v>42156</v>
      </c>
      <c r="V2368" s="694">
        <v>42179</v>
      </c>
      <c r="W2368" s="696">
        <v>2550.7399999999998</v>
      </c>
    </row>
    <row r="2369" spans="21:23">
      <c r="U2369" s="693">
        <f t="shared" si="36"/>
        <v>42156</v>
      </c>
      <c r="V2369" s="694">
        <v>42180</v>
      </c>
      <c r="W2369" s="696">
        <v>2566.66</v>
      </c>
    </row>
    <row r="2370" spans="21:23">
      <c r="U2370" s="693">
        <f t="shared" si="36"/>
        <v>42156</v>
      </c>
      <c r="V2370" s="694">
        <v>42181</v>
      </c>
      <c r="W2370" s="696">
        <v>2556.21</v>
      </c>
    </row>
    <row r="2371" spans="21:23">
      <c r="U2371" s="693">
        <f t="shared" ref="U2371:U2434" si="37">+DATE(YEAR(V2371),MONTH(V2371),1)</f>
        <v>42156</v>
      </c>
      <c r="V2371" s="694">
        <v>42182</v>
      </c>
      <c r="W2371" s="696">
        <v>2585.11</v>
      </c>
    </row>
    <row r="2372" spans="21:23">
      <c r="U2372" s="693">
        <f t="shared" si="37"/>
        <v>42156</v>
      </c>
      <c r="V2372" s="694">
        <v>42183</v>
      </c>
      <c r="W2372" s="696">
        <v>2585.11</v>
      </c>
    </row>
    <row r="2373" spans="21:23">
      <c r="U2373" s="693">
        <f t="shared" si="37"/>
        <v>42156</v>
      </c>
      <c r="V2373" s="694">
        <v>42184</v>
      </c>
      <c r="W2373" s="696">
        <v>2585.11</v>
      </c>
    </row>
    <row r="2374" spans="21:23">
      <c r="U2374" s="693">
        <f t="shared" si="37"/>
        <v>42156</v>
      </c>
      <c r="V2374" s="694">
        <v>42185</v>
      </c>
      <c r="W2374" s="696">
        <v>2585.11</v>
      </c>
    </row>
    <row r="2375" spans="21:23">
      <c r="U2375" s="693">
        <f t="shared" si="37"/>
        <v>42186</v>
      </c>
      <c r="V2375" s="694">
        <v>42186</v>
      </c>
      <c r="W2375" s="696">
        <v>2598.6799999999998</v>
      </c>
    </row>
    <row r="2376" spans="21:23">
      <c r="U2376" s="693">
        <f t="shared" si="37"/>
        <v>42186</v>
      </c>
      <c r="V2376" s="694">
        <v>42187</v>
      </c>
      <c r="W2376" s="696">
        <v>2626.8</v>
      </c>
    </row>
    <row r="2377" spans="21:23">
      <c r="U2377" s="693">
        <f t="shared" si="37"/>
        <v>42186</v>
      </c>
      <c r="V2377" s="694">
        <v>42188</v>
      </c>
      <c r="W2377" s="696">
        <v>2623.91</v>
      </c>
    </row>
    <row r="2378" spans="21:23">
      <c r="U2378" s="693">
        <f t="shared" si="37"/>
        <v>42186</v>
      </c>
      <c r="V2378" s="694">
        <v>42189</v>
      </c>
      <c r="W2378" s="696">
        <v>2642.97</v>
      </c>
    </row>
    <row r="2379" spans="21:23">
      <c r="U2379" s="693">
        <f t="shared" si="37"/>
        <v>42186</v>
      </c>
      <c r="V2379" s="694">
        <v>42190</v>
      </c>
      <c r="W2379" s="696">
        <v>2642.97</v>
      </c>
    </row>
    <row r="2380" spans="21:23">
      <c r="U2380" s="693">
        <f t="shared" si="37"/>
        <v>42186</v>
      </c>
      <c r="V2380" s="694">
        <v>42191</v>
      </c>
      <c r="W2380" s="696">
        <v>2642.97</v>
      </c>
    </row>
    <row r="2381" spans="21:23">
      <c r="U2381" s="693">
        <f t="shared" si="37"/>
        <v>42186</v>
      </c>
      <c r="V2381" s="694">
        <v>42192</v>
      </c>
      <c r="W2381" s="696">
        <v>2665.41</v>
      </c>
    </row>
    <row r="2382" spans="21:23">
      <c r="U2382" s="693">
        <f t="shared" si="37"/>
        <v>42186</v>
      </c>
      <c r="V2382" s="694">
        <v>42193</v>
      </c>
      <c r="W2382" s="696">
        <v>2690.15</v>
      </c>
    </row>
    <row r="2383" spans="21:23">
      <c r="U2383" s="693">
        <f t="shared" si="37"/>
        <v>42186</v>
      </c>
      <c r="V2383" s="694">
        <v>42194</v>
      </c>
      <c r="W2383" s="696">
        <v>2690.79</v>
      </c>
    </row>
    <row r="2384" spans="21:23">
      <c r="U2384" s="693">
        <f t="shared" si="37"/>
        <v>42186</v>
      </c>
      <c r="V2384" s="694">
        <v>42195</v>
      </c>
      <c r="W2384" s="696">
        <v>2670.79</v>
      </c>
    </row>
    <row r="2385" spans="21:23">
      <c r="U2385" s="693">
        <f t="shared" si="37"/>
        <v>42186</v>
      </c>
      <c r="V2385" s="694">
        <v>42196</v>
      </c>
      <c r="W2385" s="696">
        <v>2667.37</v>
      </c>
    </row>
    <row r="2386" spans="21:23">
      <c r="U2386" s="693">
        <f t="shared" si="37"/>
        <v>42186</v>
      </c>
      <c r="V2386" s="694">
        <v>42197</v>
      </c>
      <c r="W2386" s="696">
        <v>2667.37</v>
      </c>
    </row>
    <row r="2387" spans="21:23">
      <c r="U2387" s="693">
        <f t="shared" si="37"/>
        <v>42186</v>
      </c>
      <c r="V2387" s="694">
        <v>42198</v>
      </c>
      <c r="W2387" s="696">
        <v>2667.37</v>
      </c>
    </row>
    <row r="2388" spans="21:23">
      <c r="U2388" s="693">
        <f t="shared" si="37"/>
        <v>42186</v>
      </c>
      <c r="V2388" s="694">
        <v>42199</v>
      </c>
      <c r="W2388" s="696">
        <v>2693.54</v>
      </c>
    </row>
    <row r="2389" spans="21:23">
      <c r="U2389" s="693">
        <f t="shared" si="37"/>
        <v>42186</v>
      </c>
      <c r="V2389" s="694">
        <v>42200</v>
      </c>
      <c r="W2389" s="696">
        <v>2688.2</v>
      </c>
    </row>
    <row r="2390" spans="21:23">
      <c r="U2390" s="693">
        <f t="shared" si="37"/>
        <v>42186</v>
      </c>
      <c r="V2390" s="694">
        <v>42201</v>
      </c>
      <c r="W2390" s="696">
        <v>2713.04</v>
      </c>
    </row>
    <row r="2391" spans="21:23">
      <c r="U2391" s="693">
        <f t="shared" si="37"/>
        <v>42186</v>
      </c>
      <c r="V2391" s="694">
        <v>42202</v>
      </c>
      <c r="W2391" s="696">
        <v>2727.23</v>
      </c>
    </row>
    <row r="2392" spans="21:23">
      <c r="U2392" s="693">
        <f t="shared" si="37"/>
        <v>42186</v>
      </c>
      <c r="V2392" s="694">
        <v>42203</v>
      </c>
      <c r="W2392" s="696">
        <v>2751.88</v>
      </c>
    </row>
    <row r="2393" spans="21:23">
      <c r="U2393" s="693">
        <f t="shared" si="37"/>
        <v>42186</v>
      </c>
      <c r="V2393" s="694">
        <v>42204</v>
      </c>
      <c r="W2393" s="696">
        <v>2751.88</v>
      </c>
    </row>
    <row r="2394" spans="21:23">
      <c r="U2394" s="693">
        <f t="shared" si="37"/>
        <v>42186</v>
      </c>
      <c r="V2394" s="694">
        <v>42205</v>
      </c>
      <c r="W2394" s="696">
        <v>2751.88</v>
      </c>
    </row>
    <row r="2395" spans="21:23">
      <c r="U2395" s="693">
        <f t="shared" si="37"/>
        <v>42186</v>
      </c>
      <c r="V2395" s="694">
        <v>42206</v>
      </c>
      <c r="W2395" s="696">
        <v>2751.88</v>
      </c>
    </row>
    <row r="2396" spans="21:23">
      <c r="U2396" s="693">
        <f t="shared" si="37"/>
        <v>42186</v>
      </c>
      <c r="V2396" s="694">
        <v>42207</v>
      </c>
      <c r="W2396" s="696">
        <v>2765.1</v>
      </c>
    </row>
    <row r="2397" spans="21:23">
      <c r="U2397" s="693">
        <f t="shared" si="37"/>
        <v>42186</v>
      </c>
      <c r="V2397" s="694">
        <v>42208</v>
      </c>
      <c r="W2397" s="696">
        <v>2790.26</v>
      </c>
    </row>
    <row r="2398" spans="21:23">
      <c r="U2398" s="693">
        <f t="shared" si="37"/>
        <v>42186</v>
      </c>
      <c r="V2398" s="694">
        <v>42209</v>
      </c>
      <c r="W2398" s="696">
        <v>2807.36</v>
      </c>
    </row>
    <row r="2399" spans="21:23">
      <c r="U2399" s="693">
        <f t="shared" si="37"/>
        <v>42186</v>
      </c>
      <c r="V2399" s="694">
        <v>42210</v>
      </c>
      <c r="W2399" s="696">
        <v>2857.46</v>
      </c>
    </row>
    <row r="2400" spans="21:23">
      <c r="U2400" s="693">
        <f t="shared" si="37"/>
        <v>42186</v>
      </c>
      <c r="V2400" s="694">
        <v>42211</v>
      </c>
      <c r="W2400" s="696">
        <v>2857.46</v>
      </c>
    </row>
    <row r="2401" spans="21:23">
      <c r="U2401" s="693">
        <f t="shared" si="37"/>
        <v>42186</v>
      </c>
      <c r="V2401" s="694">
        <v>42212</v>
      </c>
      <c r="W2401" s="696">
        <v>2857.46</v>
      </c>
    </row>
    <row r="2402" spans="21:23">
      <c r="U2402" s="693">
        <f t="shared" si="37"/>
        <v>42186</v>
      </c>
      <c r="V2402" s="694">
        <v>42213</v>
      </c>
      <c r="W2402" s="696">
        <v>2854.13</v>
      </c>
    </row>
    <row r="2403" spans="21:23">
      <c r="U2403" s="693">
        <f t="shared" si="37"/>
        <v>42186</v>
      </c>
      <c r="V2403" s="694">
        <v>42214</v>
      </c>
      <c r="W2403" s="696">
        <v>2855.44</v>
      </c>
    </row>
    <row r="2404" spans="21:23">
      <c r="U2404" s="693">
        <f t="shared" si="37"/>
        <v>42186</v>
      </c>
      <c r="V2404" s="694">
        <v>42215</v>
      </c>
      <c r="W2404" s="696">
        <v>2855.32</v>
      </c>
    </row>
    <row r="2405" spans="21:23">
      <c r="U2405" s="693">
        <f t="shared" si="37"/>
        <v>42186</v>
      </c>
      <c r="V2405" s="694">
        <v>42216</v>
      </c>
      <c r="W2405" s="696">
        <v>2866.04</v>
      </c>
    </row>
    <row r="2406" spans="21:23">
      <c r="U2406" s="693">
        <f t="shared" si="37"/>
        <v>42217</v>
      </c>
      <c r="V2406" s="694">
        <v>42217</v>
      </c>
      <c r="W2406" s="696">
        <v>2862.51</v>
      </c>
    </row>
    <row r="2407" spans="21:23">
      <c r="U2407" s="693">
        <f t="shared" si="37"/>
        <v>42217</v>
      </c>
      <c r="V2407" s="694">
        <v>42218</v>
      </c>
      <c r="W2407" s="696">
        <v>2862.51</v>
      </c>
    </row>
    <row r="2408" spans="21:23">
      <c r="U2408" s="693">
        <f t="shared" si="37"/>
        <v>42217</v>
      </c>
      <c r="V2408" s="694">
        <v>42219</v>
      </c>
      <c r="W2408" s="696">
        <v>2862.51</v>
      </c>
    </row>
    <row r="2409" spans="21:23">
      <c r="U2409" s="693">
        <f t="shared" si="37"/>
        <v>42217</v>
      </c>
      <c r="V2409" s="694">
        <v>42220</v>
      </c>
      <c r="W2409" s="696">
        <v>2902.98</v>
      </c>
    </row>
    <row r="2410" spans="21:23">
      <c r="U2410" s="693">
        <f t="shared" si="37"/>
        <v>42217</v>
      </c>
      <c r="V2410" s="694">
        <v>42221</v>
      </c>
      <c r="W2410" s="696">
        <v>2906.95</v>
      </c>
    </row>
    <row r="2411" spans="21:23">
      <c r="U2411" s="693">
        <f t="shared" si="37"/>
        <v>42217</v>
      </c>
      <c r="V2411" s="694">
        <v>42222</v>
      </c>
      <c r="W2411" s="696">
        <v>2945.97</v>
      </c>
    </row>
    <row r="2412" spans="21:23">
      <c r="U2412" s="693">
        <f t="shared" si="37"/>
        <v>42217</v>
      </c>
      <c r="V2412" s="694">
        <v>42223</v>
      </c>
      <c r="W2412" s="696">
        <v>2955.31</v>
      </c>
    </row>
    <row r="2413" spans="21:23">
      <c r="U2413" s="693">
        <f t="shared" si="37"/>
        <v>42217</v>
      </c>
      <c r="V2413" s="694">
        <v>42224</v>
      </c>
      <c r="W2413" s="696">
        <v>2955.31</v>
      </c>
    </row>
    <row r="2414" spans="21:23">
      <c r="U2414" s="693">
        <f t="shared" si="37"/>
        <v>42217</v>
      </c>
      <c r="V2414" s="694">
        <v>42225</v>
      </c>
      <c r="W2414" s="696">
        <v>2955.31</v>
      </c>
    </row>
    <row r="2415" spans="21:23">
      <c r="U2415" s="693">
        <f t="shared" si="37"/>
        <v>42217</v>
      </c>
      <c r="V2415" s="694">
        <v>42226</v>
      </c>
      <c r="W2415" s="696">
        <v>2955.31</v>
      </c>
    </row>
    <row r="2416" spans="21:23">
      <c r="U2416" s="693">
        <f t="shared" si="37"/>
        <v>42217</v>
      </c>
      <c r="V2416" s="694">
        <v>42227</v>
      </c>
      <c r="W2416" s="696">
        <v>2913.45</v>
      </c>
    </row>
    <row r="2417" spans="21:23">
      <c r="U2417" s="693">
        <f t="shared" si="37"/>
        <v>42217</v>
      </c>
      <c r="V2417" s="694">
        <v>42228</v>
      </c>
      <c r="W2417" s="696">
        <v>2943.97</v>
      </c>
    </row>
    <row r="2418" spans="21:23">
      <c r="U2418" s="693">
        <f t="shared" si="37"/>
        <v>42217</v>
      </c>
      <c r="V2418" s="694">
        <v>42229</v>
      </c>
      <c r="W2418" s="696">
        <v>2937.63</v>
      </c>
    </row>
    <row r="2419" spans="21:23">
      <c r="U2419" s="693">
        <f t="shared" si="37"/>
        <v>42217</v>
      </c>
      <c r="V2419" s="694">
        <v>42230</v>
      </c>
      <c r="W2419" s="696">
        <v>2966.12</v>
      </c>
    </row>
    <row r="2420" spans="21:23">
      <c r="U2420" s="693">
        <f t="shared" si="37"/>
        <v>42217</v>
      </c>
      <c r="V2420" s="694">
        <v>42231</v>
      </c>
      <c r="W2420" s="696">
        <v>2983.12</v>
      </c>
    </row>
    <row r="2421" spans="21:23">
      <c r="U2421" s="693">
        <f t="shared" si="37"/>
        <v>42217</v>
      </c>
      <c r="V2421" s="694">
        <v>42232</v>
      </c>
      <c r="W2421" s="696">
        <v>2983.12</v>
      </c>
    </row>
    <row r="2422" spans="21:23">
      <c r="U2422" s="693">
        <f t="shared" si="37"/>
        <v>42217</v>
      </c>
      <c r="V2422" s="694">
        <v>42233</v>
      </c>
      <c r="W2422" s="696">
        <v>2983.12</v>
      </c>
    </row>
    <row r="2423" spans="21:23">
      <c r="U2423" s="693">
        <f t="shared" si="37"/>
        <v>42217</v>
      </c>
      <c r="V2423" s="694">
        <v>42234</v>
      </c>
      <c r="W2423" s="696">
        <v>2983.12</v>
      </c>
    </row>
    <row r="2424" spans="21:23">
      <c r="U2424" s="693">
        <f t="shared" si="37"/>
        <v>42217</v>
      </c>
      <c r="V2424" s="694">
        <v>42235</v>
      </c>
      <c r="W2424" s="696">
        <v>3003.35</v>
      </c>
    </row>
    <row r="2425" spans="21:23">
      <c r="U2425" s="693">
        <f t="shared" si="37"/>
        <v>42217</v>
      </c>
      <c r="V2425" s="694">
        <v>42236</v>
      </c>
      <c r="W2425" s="696">
        <v>3027.2</v>
      </c>
    </row>
    <row r="2426" spans="21:23">
      <c r="U2426" s="693">
        <f t="shared" si="37"/>
        <v>42217</v>
      </c>
      <c r="V2426" s="694">
        <v>42237</v>
      </c>
      <c r="W2426" s="696">
        <v>3053.65</v>
      </c>
    </row>
    <row r="2427" spans="21:23">
      <c r="U2427" s="693">
        <f t="shared" si="37"/>
        <v>42217</v>
      </c>
      <c r="V2427" s="694">
        <v>42238</v>
      </c>
      <c r="W2427" s="696">
        <v>3102.6</v>
      </c>
    </row>
    <row r="2428" spans="21:23">
      <c r="U2428" s="693">
        <f t="shared" si="37"/>
        <v>42217</v>
      </c>
      <c r="V2428" s="694">
        <v>42239</v>
      </c>
      <c r="W2428" s="696">
        <v>3102.6</v>
      </c>
    </row>
    <row r="2429" spans="21:23">
      <c r="U2429" s="693">
        <f t="shared" si="37"/>
        <v>42217</v>
      </c>
      <c r="V2429" s="694">
        <v>42240</v>
      </c>
      <c r="W2429" s="696">
        <v>3102.6</v>
      </c>
    </row>
    <row r="2430" spans="21:23">
      <c r="U2430" s="693">
        <f t="shared" si="37"/>
        <v>42217</v>
      </c>
      <c r="V2430" s="694">
        <v>42241</v>
      </c>
      <c r="W2430" s="696">
        <v>3208.37</v>
      </c>
    </row>
    <row r="2431" spans="21:23">
      <c r="U2431" s="693">
        <f t="shared" si="37"/>
        <v>42217</v>
      </c>
      <c r="V2431" s="694">
        <v>42242</v>
      </c>
      <c r="W2431" s="696">
        <v>3194.24</v>
      </c>
    </row>
    <row r="2432" spans="21:23">
      <c r="U2432" s="693">
        <f t="shared" si="37"/>
        <v>42217</v>
      </c>
      <c r="V2432" s="694">
        <v>42243</v>
      </c>
      <c r="W2432" s="696">
        <v>3238.51</v>
      </c>
    </row>
    <row r="2433" spans="21:23">
      <c r="U2433" s="693">
        <f t="shared" si="37"/>
        <v>42217</v>
      </c>
      <c r="V2433" s="694">
        <v>42244</v>
      </c>
      <c r="W2433" s="696">
        <v>3195.47</v>
      </c>
    </row>
    <row r="2434" spans="21:23">
      <c r="U2434" s="693">
        <f t="shared" si="37"/>
        <v>42217</v>
      </c>
      <c r="V2434" s="694">
        <v>42245</v>
      </c>
      <c r="W2434" s="696">
        <v>3101.1</v>
      </c>
    </row>
    <row r="2435" spans="21:23">
      <c r="U2435" s="693">
        <f t="shared" ref="U2435:U2498" si="38">+DATE(YEAR(V2435),MONTH(V2435),1)</f>
        <v>42217</v>
      </c>
      <c r="V2435" s="694">
        <v>42246</v>
      </c>
      <c r="W2435" s="696">
        <v>3101.1</v>
      </c>
    </row>
    <row r="2436" spans="21:23">
      <c r="U2436" s="693">
        <f t="shared" si="38"/>
        <v>42217</v>
      </c>
      <c r="V2436" s="694">
        <v>42247</v>
      </c>
      <c r="W2436" s="696">
        <v>3101.1</v>
      </c>
    </row>
    <row r="2437" spans="21:23">
      <c r="U2437" s="693">
        <f t="shared" si="38"/>
        <v>42248</v>
      </c>
      <c r="V2437" s="694">
        <v>42248</v>
      </c>
      <c r="W2437" s="696">
        <v>3079.97</v>
      </c>
    </row>
    <row r="2438" spans="21:23">
      <c r="U2438" s="693">
        <f t="shared" si="38"/>
        <v>42248</v>
      </c>
      <c r="V2438" s="694">
        <v>42249</v>
      </c>
      <c r="W2438" s="696">
        <v>3093.64</v>
      </c>
    </row>
    <row r="2439" spans="21:23">
      <c r="U2439" s="693">
        <f t="shared" si="38"/>
        <v>42248</v>
      </c>
      <c r="V2439" s="694">
        <v>42250</v>
      </c>
      <c r="W2439" s="696">
        <v>3142.34</v>
      </c>
    </row>
    <row r="2440" spans="21:23">
      <c r="U2440" s="693">
        <f t="shared" si="38"/>
        <v>42248</v>
      </c>
      <c r="V2440" s="694">
        <v>42251</v>
      </c>
      <c r="W2440" s="696">
        <v>3119.93</v>
      </c>
    </row>
    <row r="2441" spans="21:23">
      <c r="U2441" s="693">
        <f t="shared" si="38"/>
        <v>42248</v>
      </c>
      <c r="V2441" s="694">
        <v>42252</v>
      </c>
      <c r="W2441" s="696">
        <v>3113.55</v>
      </c>
    </row>
    <row r="2442" spans="21:23">
      <c r="U2442" s="693">
        <f t="shared" si="38"/>
        <v>42248</v>
      </c>
      <c r="V2442" s="694">
        <v>42253</v>
      </c>
      <c r="W2442" s="696">
        <v>3113.55</v>
      </c>
    </row>
    <row r="2443" spans="21:23">
      <c r="U2443" s="693">
        <f t="shared" si="38"/>
        <v>42248</v>
      </c>
      <c r="V2443" s="694">
        <v>42254</v>
      </c>
      <c r="W2443" s="696">
        <v>3113.55</v>
      </c>
    </row>
    <row r="2444" spans="21:23">
      <c r="U2444" s="693">
        <f t="shared" si="38"/>
        <v>42248</v>
      </c>
      <c r="V2444" s="694">
        <v>42255</v>
      </c>
      <c r="W2444" s="696">
        <v>3113.55</v>
      </c>
    </row>
    <row r="2445" spans="21:23">
      <c r="U2445" s="693">
        <f t="shared" si="38"/>
        <v>42248</v>
      </c>
      <c r="V2445" s="694">
        <v>42256</v>
      </c>
      <c r="W2445" s="696">
        <v>3138.46</v>
      </c>
    </row>
    <row r="2446" spans="21:23">
      <c r="U2446" s="693">
        <f t="shared" si="38"/>
        <v>42248</v>
      </c>
      <c r="V2446" s="694">
        <v>42257</v>
      </c>
      <c r="W2446" s="696">
        <v>3105.4</v>
      </c>
    </row>
    <row r="2447" spans="21:23">
      <c r="U2447" s="693">
        <f t="shared" si="38"/>
        <v>42248</v>
      </c>
      <c r="V2447" s="694">
        <v>42258</v>
      </c>
      <c r="W2447" s="696">
        <v>3080.57</v>
      </c>
    </row>
    <row r="2448" spans="21:23">
      <c r="U2448" s="693">
        <f t="shared" si="38"/>
        <v>42248</v>
      </c>
      <c r="V2448" s="694">
        <v>42259</v>
      </c>
      <c r="W2448" s="696">
        <v>3012.96</v>
      </c>
    </row>
    <row r="2449" spans="21:23">
      <c r="U2449" s="693">
        <f t="shared" si="38"/>
        <v>42248</v>
      </c>
      <c r="V2449" s="694">
        <v>42260</v>
      </c>
      <c r="W2449" s="696">
        <v>3012.96</v>
      </c>
    </row>
    <row r="2450" spans="21:23">
      <c r="U2450" s="693">
        <f t="shared" si="38"/>
        <v>42248</v>
      </c>
      <c r="V2450" s="694">
        <v>42261</v>
      </c>
      <c r="W2450" s="696">
        <v>3012.96</v>
      </c>
    </row>
    <row r="2451" spans="21:23">
      <c r="U2451" s="693">
        <f t="shared" si="38"/>
        <v>42248</v>
      </c>
      <c r="V2451" s="694">
        <v>42262</v>
      </c>
      <c r="W2451" s="696">
        <v>3032.59</v>
      </c>
    </row>
    <row r="2452" spans="21:23">
      <c r="U2452" s="693">
        <f t="shared" si="38"/>
        <v>42248</v>
      </c>
      <c r="V2452" s="694">
        <v>42263</v>
      </c>
      <c r="W2452" s="696">
        <v>3025.28</v>
      </c>
    </row>
    <row r="2453" spans="21:23">
      <c r="U2453" s="693">
        <f t="shared" si="38"/>
        <v>42248</v>
      </c>
      <c r="V2453" s="694">
        <v>42264</v>
      </c>
      <c r="W2453" s="696">
        <v>2989.04</v>
      </c>
    </row>
    <row r="2454" spans="21:23">
      <c r="U2454" s="693">
        <f t="shared" si="38"/>
        <v>42248</v>
      </c>
      <c r="V2454" s="694">
        <v>42265</v>
      </c>
      <c r="W2454" s="696">
        <v>2975.13</v>
      </c>
    </row>
    <row r="2455" spans="21:23">
      <c r="U2455" s="693">
        <f t="shared" si="38"/>
        <v>42248</v>
      </c>
      <c r="V2455" s="694">
        <v>42266</v>
      </c>
      <c r="W2455" s="696">
        <v>2984.9</v>
      </c>
    </row>
    <row r="2456" spans="21:23">
      <c r="U2456" s="693">
        <f t="shared" si="38"/>
        <v>42248</v>
      </c>
      <c r="V2456" s="694">
        <v>42267</v>
      </c>
      <c r="W2456" s="696">
        <v>2984.9</v>
      </c>
    </row>
    <row r="2457" spans="21:23">
      <c r="U2457" s="693">
        <f t="shared" si="38"/>
        <v>42248</v>
      </c>
      <c r="V2457" s="694">
        <v>42268</v>
      </c>
      <c r="W2457" s="696">
        <v>2984.9</v>
      </c>
    </row>
    <row r="2458" spans="21:23">
      <c r="U2458" s="693">
        <f t="shared" si="38"/>
        <v>42248</v>
      </c>
      <c r="V2458" s="694">
        <v>42269</v>
      </c>
      <c r="W2458" s="696">
        <v>3001.68</v>
      </c>
    </row>
    <row r="2459" spans="21:23">
      <c r="U2459" s="693">
        <f t="shared" si="38"/>
        <v>42248</v>
      </c>
      <c r="V2459" s="694">
        <v>42270</v>
      </c>
      <c r="W2459" s="696">
        <v>3065.74</v>
      </c>
    </row>
    <row r="2460" spans="21:23">
      <c r="U2460" s="693">
        <f t="shared" si="38"/>
        <v>42248</v>
      </c>
      <c r="V2460" s="694">
        <v>42271</v>
      </c>
      <c r="W2460" s="696">
        <v>3099.28</v>
      </c>
    </row>
    <row r="2461" spans="21:23">
      <c r="U2461" s="693">
        <f t="shared" si="38"/>
        <v>42248</v>
      </c>
      <c r="V2461" s="694">
        <v>42272</v>
      </c>
      <c r="W2461" s="696">
        <v>3135.17</v>
      </c>
    </row>
    <row r="2462" spans="21:23">
      <c r="U2462" s="693">
        <f t="shared" si="38"/>
        <v>42248</v>
      </c>
      <c r="V2462" s="694">
        <v>42273</v>
      </c>
      <c r="W2462" s="696">
        <v>3080.44</v>
      </c>
    </row>
    <row r="2463" spans="21:23">
      <c r="U2463" s="693">
        <f t="shared" si="38"/>
        <v>42248</v>
      </c>
      <c r="V2463" s="694">
        <v>42274</v>
      </c>
      <c r="W2463" s="696">
        <v>3080.44</v>
      </c>
    </row>
    <row r="2464" spans="21:23">
      <c r="U2464" s="693">
        <f t="shared" si="38"/>
        <v>42248</v>
      </c>
      <c r="V2464" s="694">
        <v>42275</v>
      </c>
      <c r="W2464" s="696">
        <v>3080.44</v>
      </c>
    </row>
    <row r="2465" spans="21:23">
      <c r="U2465" s="693">
        <f t="shared" si="38"/>
        <v>42248</v>
      </c>
      <c r="V2465" s="694">
        <v>42276</v>
      </c>
      <c r="W2465" s="696">
        <v>3096.98</v>
      </c>
    </row>
    <row r="2466" spans="21:23">
      <c r="U2466" s="693">
        <f t="shared" si="38"/>
        <v>42248</v>
      </c>
      <c r="V2466" s="694">
        <v>42277</v>
      </c>
      <c r="W2466" s="696">
        <v>3121.94</v>
      </c>
    </row>
    <row r="2467" spans="21:23">
      <c r="U2467" s="693">
        <f t="shared" si="38"/>
        <v>42278</v>
      </c>
      <c r="V2467" s="694">
        <v>42278</v>
      </c>
      <c r="W2467" s="696">
        <v>3086.75</v>
      </c>
    </row>
    <row r="2468" spans="21:23">
      <c r="U2468" s="693">
        <f t="shared" si="38"/>
        <v>42278</v>
      </c>
      <c r="V2468" s="694">
        <v>42279</v>
      </c>
      <c r="W2468" s="696">
        <v>3061.85</v>
      </c>
    </row>
    <row r="2469" spans="21:23">
      <c r="U2469" s="693">
        <f t="shared" si="38"/>
        <v>42278</v>
      </c>
      <c r="V2469" s="694">
        <v>42280</v>
      </c>
      <c r="W2469" s="696">
        <v>3034.9</v>
      </c>
    </row>
    <row r="2470" spans="21:23">
      <c r="U2470" s="693">
        <f t="shared" si="38"/>
        <v>42278</v>
      </c>
      <c r="V2470" s="694">
        <v>42281</v>
      </c>
      <c r="W2470" s="696">
        <v>3034.9</v>
      </c>
    </row>
    <row r="2471" spans="21:23">
      <c r="U2471" s="693">
        <f t="shared" si="38"/>
        <v>42278</v>
      </c>
      <c r="V2471" s="694">
        <v>42282</v>
      </c>
      <c r="W2471" s="696">
        <v>3034.9</v>
      </c>
    </row>
    <row r="2472" spans="21:23">
      <c r="U2472" s="693">
        <f t="shared" si="38"/>
        <v>42278</v>
      </c>
      <c r="V2472" s="694">
        <v>42283</v>
      </c>
      <c r="W2472" s="696">
        <v>2971.15</v>
      </c>
    </row>
    <row r="2473" spans="21:23">
      <c r="U2473" s="693">
        <f t="shared" si="38"/>
        <v>42278</v>
      </c>
      <c r="V2473" s="694">
        <v>42284</v>
      </c>
      <c r="W2473" s="696">
        <v>2913.74</v>
      </c>
    </row>
    <row r="2474" spans="21:23">
      <c r="U2474" s="693">
        <f t="shared" si="38"/>
        <v>42278</v>
      </c>
      <c r="V2474" s="694">
        <v>42285</v>
      </c>
      <c r="W2474" s="696">
        <v>2891.91</v>
      </c>
    </row>
    <row r="2475" spans="21:23">
      <c r="U2475" s="693">
        <f t="shared" si="38"/>
        <v>42278</v>
      </c>
      <c r="V2475" s="694">
        <v>42286</v>
      </c>
      <c r="W2475" s="696">
        <v>2887.21</v>
      </c>
    </row>
    <row r="2476" spans="21:23">
      <c r="U2476" s="693">
        <f t="shared" si="38"/>
        <v>42278</v>
      </c>
      <c r="V2476" s="694">
        <v>42287</v>
      </c>
      <c r="W2476" s="696">
        <v>2855.74</v>
      </c>
    </row>
    <row r="2477" spans="21:23">
      <c r="U2477" s="693">
        <f t="shared" si="38"/>
        <v>42278</v>
      </c>
      <c r="V2477" s="694">
        <v>42288</v>
      </c>
      <c r="W2477" s="696">
        <v>2855.74</v>
      </c>
    </row>
    <row r="2478" spans="21:23">
      <c r="U2478" s="693">
        <f t="shared" si="38"/>
        <v>42278</v>
      </c>
      <c r="V2478" s="694">
        <v>42289</v>
      </c>
      <c r="W2478" s="696">
        <v>2855.74</v>
      </c>
    </row>
    <row r="2479" spans="21:23">
      <c r="U2479" s="693">
        <f t="shared" si="38"/>
        <v>42278</v>
      </c>
      <c r="V2479" s="694">
        <v>42290</v>
      </c>
      <c r="W2479" s="696">
        <v>2855.74</v>
      </c>
    </row>
    <row r="2480" spans="21:23">
      <c r="U2480" s="693">
        <f t="shared" si="38"/>
        <v>42278</v>
      </c>
      <c r="V2480" s="694">
        <v>42291</v>
      </c>
      <c r="W2480" s="696">
        <v>2910.7</v>
      </c>
    </row>
    <row r="2481" spans="21:23">
      <c r="U2481" s="693">
        <f t="shared" si="38"/>
        <v>42278</v>
      </c>
      <c r="V2481" s="694">
        <v>42292</v>
      </c>
      <c r="W2481" s="696">
        <v>2928.69</v>
      </c>
    </row>
    <row r="2482" spans="21:23">
      <c r="U2482" s="693">
        <f t="shared" si="38"/>
        <v>42278</v>
      </c>
      <c r="V2482" s="694">
        <v>42293</v>
      </c>
      <c r="W2482" s="696">
        <v>2908.87</v>
      </c>
    </row>
    <row r="2483" spans="21:23">
      <c r="U2483" s="693">
        <f t="shared" si="38"/>
        <v>42278</v>
      </c>
      <c r="V2483" s="694">
        <v>42294</v>
      </c>
      <c r="W2483" s="696">
        <v>2879.89</v>
      </c>
    </row>
    <row r="2484" spans="21:23">
      <c r="U2484" s="693">
        <f t="shared" si="38"/>
        <v>42278</v>
      </c>
      <c r="V2484" s="694">
        <v>42295</v>
      </c>
      <c r="W2484" s="696">
        <v>2879.89</v>
      </c>
    </row>
    <row r="2485" spans="21:23">
      <c r="U2485" s="693">
        <f t="shared" si="38"/>
        <v>42278</v>
      </c>
      <c r="V2485" s="694">
        <v>42296</v>
      </c>
      <c r="W2485" s="696">
        <v>2879.89</v>
      </c>
    </row>
    <row r="2486" spans="21:23">
      <c r="U2486" s="693">
        <f t="shared" si="38"/>
        <v>42278</v>
      </c>
      <c r="V2486" s="694">
        <v>42297</v>
      </c>
      <c r="W2486" s="696">
        <v>2912.99</v>
      </c>
    </row>
    <row r="2487" spans="21:23">
      <c r="U2487" s="693">
        <f t="shared" si="38"/>
        <v>42278</v>
      </c>
      <c r="V2487" s="694">
        <v>42298</v>
      </c>
      <c r="W2487" s="696">
        <v>2929.19</v>
      </c>
    </row>
    <row r="2488" spans="21:23">
      <c r="U2488" s="693">
        <f t="shared" si="38"/>
        <v>42278</v>
      </c>
      <c r="V2488" s="694">
        <v>42299</v>
      </c>
      <c r="W2488" s="696">
        <v>2966.68</v>
      </c>
    </row>
    <row r="2489" spans="21:23">
      <c r="U2489" s="693">
        <f t="shared" si="38"/>
        <v>42278</v>
      </c>
      <c r="V2489" s="694">
        <v>42300</v>
      </c>
      <c r="W2489" s="696">
        <v>2925.36</v>
      </c>
    </row>
    <row r="2490" spans="21:23">
      <c r="U2490" s="693">
        <f t="shared" si="38"/>
        <v>42278</v>
      </c>
      <c r="V2490" s="694">
        <v>42301</v>
      </c>
      <c r="W2490" s="696">
        <v>2912.08</v>
      </c>
    </row>
    <row r="2491" spans="21:23">
      <c r="U2491" s="693">
        <f t="shared" si="38"/>
        <v>42278</v>
      </c>
      <c r="V2491" s="694">
        <v>42302</v>
      </c>
      <c r="W2491" s="696">
        <v>2912.08</v>
      </c>
    </row>
    <row r="2492" spans="21:23">
      <c r="U2492" s="693">
        <f t="shared" si="38"/>
        <v>42278</v>
      </c>
      <c r="V2492" s="694">
        <v>42303</v>
      </c>
      <c r="W2492" s="696">
        <v>2912.08</v>
      </c>
    </row>
    <row r="2493" spans="21:23">
      <c r="U2493" s="693">
        <f t="shared" si="38"/>
        <v>42278</v>
      </c>
      <c r="V2493" s="694">
        <v>42304</v>
      </c>
      <c r="W2493" s="696">
        <v>2918.21</v>
      </c>
    </row>
    <row r="2494" spans="21:23">
      <c r="U2494" s="693">
        <f t="shared" si="38"/>
        <v>42278</v>
      </c>
      <c r="V2494" s="694">
        <v>42305</v>
      </c>
      <c r="W2494" s="696">
        <v>2950.87</v>
      </c>
    </row>
    <row r="2495" spans="21:23">
      <c r="U2495" s="693">
        <f t="shared" si="38"/>
        <v>42278</v>
      </c>
      <c r="V2495" s="694">
        <v>42306</v>
      </c>
      <c r="W2495" s="696">
        <v>2926.75</v>
      </c>
    </row>
    <row r="2496" spans="21:23">
      <c r="U2496" s="693">
        <f t="shared" si="38"/>
        <v>42278</v>
      </c>
      <c r="V2496" s="694">
        <v>42307</v>
      </c>
      <c r="W2496" s="696">
        <v>2921.32</v>
      </c>
    </row>
    <row r="2497" spans="21:23">
      <c r="U2497" s="693">
        <f t="shared" si="38"/>
        <v>42278</v>
      </c>
      <c r="V2497" s="694">
        <v>42308</v>
      </c>
      <c r="W2497" s="696">
        <v>2897.83</v>
      </c>
    </row>
    <row r="2498" spans="21:23">
      <c r="U2498" s="693">
        <f t="shared" si="38"/>
        <v>42309</v>
      </c>
      <c r="V2498" s="694">
        <v>42309</v>
      </c>
      <c r="W2498" s="696">
        <v>2897.83</v>
      </c>
    </row>
    <row r="2499" spans="21:23">
      <c r="U2499" s="693">
        <f t="shared" ref="U2499:U2562" si="39">+DATE(YEAR(V2499),MONTH(V2499),1)</f>
        <v>42309</v>
      </c>
      <c r="V2499" s="694">
        <v>42310</v>
      </c>
      <c r="W2499" s="696">
        <v>2897.83</v>
      </c>
    </row>
    <row r="2500" spans="21:23">
      <c r="U2500" s="693">
        <f t="shared" si="39"/>
        <v>42309</v>
      </c>
      <c r="V2500" s="694">
        <v>42311</v>
      </c>
      <c r="W2500" s="696">
        <v>2897.83</v>
      </c>
    </row>
    <row r="2501" spans="21:23">
      <c r="U2501" s="693">
        <f t="shared" si="39"/>
        <v>42309</v>
      </c>
      <c r="V2501" s="694">
        <v>42312</v>
      </c>
      <c r="W2501" s="696">
        <v>2825.25</v>
      </c>
    </row>
    <row r="2502" spans="21:23">
      <c r="U2502" s="693">
        <f t="shared" si="39"/>
        <v>42309</v>
      </c>
      <c r="V2502" s="694">
        <v>42313</v>
      </c>
      <c r="W2502" s="696">
        <v>2819.63</v>
      </c>
    </row>
    <row r="2503" spans="21:23">
      <c r="U2503" s="693">
        <f t="shared" si="39"/>
        <v>42309</v>
      </c>
      <c r="V2503" s="694">
        <v>42314</v>
      </c>
      <c r="W2503" s="696">
        <v>2853.32</v>
      </c>
    </row>
    <row r="2504" spans="21:23">
      <c r="U2504" s="693">
        <f t="shared" si="39"/>
        <v>42309</v>
      </c>
      <c r="V2504" s="694">
        <v>42315</v>
      </c>
      <c r="W2504" s="696">
        <v>2896.19</v>
      </c>
    </row>
    <row r="2505" spans="21:23">
      <c r="U2505" s="693">
        <f t="shared" si="39"/>
        <v>42309</v>
      </c>
      <c r="V2505" s="694">
        <v>42316</v>
      </c>
      <c r="W2505" s="696">
        <v>2896.19</v>
      </c>
    </row>
    <row r="2506" spans="21:23">
      <c r="U2506" s="693">
        <f t="shared" si="39"/>
        <v>42309</v>
      </c>
      <c r="V2506" s="694">
        <v>42317</v>
      </c>
      <c r="W2506" s="696">
        <v>2896.19</v>
      </c>
    </row>
    <row r="2507" spans="21:23">
      <c r="U2507" s="693">
        <f t="shared" si="39"/>
        <v>42309</v>
      </c>
      <c r="V2507" s="694">
        <v>42318</v>
      </c>
      <c r="W2507" s="696">
        <v>2921.15</v>
      </c>
    </row>
    <row r="2508" spans="21:23">
      <c r="U2508" s="693">
        <f t="shared" si="39"/>
        <v>42309</v>
      </c>
      <c r="V2508" s="694">
        <v>42319</v>
      </c>
      <c r="W2508" s="696">
        <v>2935.86</v>
      </c>
    </row>
    <row r="2509" spans="21:23">
      <c r="U2509" s="693">
        <f t="shared" si="39"/>
        <v>42309</v>
      </c>
      <c r="V2509" s="694">
        <v>42320</v>
      </c>
      <c r="W2509" s="696">
        <v>2935.86</v>
      </c>
    </row>
    <row r="2510" spans="21:23">
      <c r="U2510" s="693">
        <f t="shared" si="39"/>
        <v>42309</v>
      </c>
      <c r="V2510" s="694">
        <v>42321</v>
      </c>
      <c r="W2510" s="696">
        <v>3009.36</v>
      </c>
    </row>
    <row r="2511" spans="21:23">
      <c r="U2511" s="693">
        <f t="shared" si="39"/>
        <v>42309</v>
      </c>
      <c r="V2511" s="694">
        <v>42322</v>
      </c>
      <c r="W2511" s="696">
        <v>3073.23</v>
      </c>
    </row>
    <row r="2512" spans="21:23">
      <c r="U2512" s="693">
        <f t="shared" si="39"/>
        <v>42309</v>
      </c>
      <c r="V2512" s="694">
        <v>42323</v>
      </c>
      <c r="W2512" s="696">
        <v>3073.23</v>
      </c>
    </row>
    <row r="2513" spans="21:23">
      <c r="U2513" s="693">
        <f t="shared" si="39"/>
        <v>42309</v>
      </c>
      <c r="V2513" s="694">
        <v>42324</v>
      </c>
      <c r="W2513" s="696">
        <v>3073.23</v>
      </c>
    </row>
    <row r="2514" spans="21:23">
      <c r="U2514" s="693">
        <f t="shared" si="39"/>
        <v>42309</v>
      </c>
      <c r="V2514" s="694">
        <v>42325</v>
      </c>
      <c r="W2514" s="696">
        <v>3073.23</v>
      </c>
    </row>
    <row r="2515" spans="21:23">
      <c r="U2515" s="693">
        <f t="shared" si="39"/>
        <v>42309</v>
      </c>
      <c r="V2515" s="694">
        <v>42326</v>
      </c>
      <c r="W2515" s="696">
        <v>3069.24</v>
      </c>
    </row>
    <row r="2516" spans="21:23">
      <c r="U2516" s="693">
        <f t="shared" si="39"/>
        <v>42309</v>
      </c>
      <c r="V2516" s="694">
        <v>42327</v>
      </c>
      <c r="W2516" s="696">
        <v>3108.7</v>
      </c>
    </row>
    <row r="2517" spans="21:23">
      <c r="U2517" s="693">
        <f t="shared" si="39"/>
        <v>42309</v>
      </c>
      <c r="V2517" s="694">
        <v>42328</v>
      </c>
      <c r="W2517" s="696">
        <v>3082.04</v>
      </c>
    </row>
    <row r="2518" spans="21:23">
      <c r="U2518" s="693">
        <f t="shared" si="39"/>
        <v>42309</v>
      </c>
      <c r="V2518" s="694">
        <v>42329</v>
      </c>
      <c r="W2518" s="696">
        <v>3047.31</v>
      </c>
    </row>
    <row r="2519" spans="21:23">
      <c r="U2519" s="693">
        <f t="shared" si="39"/>
        <v>42309</v>
      </c>
      <c r="V2519" s="694">
        <v>42330</v>
      </c>
      <c r="W2519" s="696">
        <v>3047.31</v>
      </c>
    </row>
    <row r="2520" spans="21:23">
      <c r="U2520" s="693">
        <f t="shared" si="39"/>
        <v>42309</v>
      </c>
      <c r="V2520" s="694">
        <v>42331</v>
      </c>
      <c r="W2520" s="696">
        <v>3047.31</v>
      </c>
    </row>
    <row r="2521" spans="21:23">
      <c r="U2521" s="693">
        <f t="shared" si="39"/>
        <v>42309</v>
      </c>
      <c r="V2521" s="694">
        <v>42332</v>
      </c>
      <c r="W2521" s="696">
        <v>3086.82</v>
      </c>
    </row>
    <row r="2522" spans="21:23">
      <c r="U2522" s="693">
        <f t="shared" si="39"/>
        <v>42309</v>
      </c>
      <c r="V2522" s="694">
        <v>42333</v>
      </c>
      <c r="W2522" s="696">
        <v>3074.35</v>
      </c>
    </row>
    <row r="2523" spans="21:23">
      <c r="U2523" s="693">
        <f t="shared" si="39"/>
        <v>42309</v>
      </c>
      <c r="V2523" s="694">
        <v>42334</v>
      </c>
      <c r="W2523" s="696">
        <v>3099.75</v>
      </c>
    </row>
    <row r="2524" spans="21:23">
      <c r="U2524" s="693">
        <f t="shared" si="39"/>
        <v>42309</v>
      </c>
      <c r="V2524" s="694">
        <v>42335</v>
      </c>
      <c r="W2524" s="696">
        <v>3099.75</v>
      </c>
    </row>
    <row r="2525" spans="21:23">
      <c r="U2525" s="693">
        <f t="shared" si="39"/>
        <v>42309</v>
      </c>
      <c r="V2525" s="694">
        <v>42336</v>
      </c>
      <c r="W2525" s="696">
        <v>3101.1</v>
      </c>
    </row>
    <row r="2526" spans="21:23">
      <c r="U2526" s="693">
        <f t="shared" si="39"/>
        <v>42309</v>
      </c>
      <c r="V2526" s="694">
        <v>42337</v>
      </c>
      <c r="W2526" s="696">
        <v>3101.1</v>
      </c>
    </row>
    <row r="2527" spans="21:23">
      <c r="U2527" s="693">
        <f t="shared" si="39"/>
        <v>42309</v>
      </c>
      <c r="V2527" s="694">
        <v>42338</v>
      </c>
      <c r="W2527" s="696">
        <v>3101.1</v>
      </c>
    </row>
    <row r="2528" spans="21:23">
      <c r="U2528" s="693">
        <f t="shared" si="39"/>
        <v>42339</v>
      </c>
      <c r="V2528" s="694">
        <v>42339</v>
      </c>
      <c r="W2528" s="696">
        <v>3142.11</v>
      </c>
    </row>
    <row r="2529" spans="21:23">
      <c r="U2529" s="693">
        <f t="shared" si="39"/>
        <v>42339</v>
      </c>
      <c r="V2529" s="694">
        <v>42340</v>
      </c>
      <c r="W2529" s="696">
        <v>3131.95</v>
      </c>
    </row>
    <row r="2530" spans="21:23">
      <c r="U2530" s="693">
        <f t="shared" si="39"/>
        <v>42339</v>
      </c>
      <c r="V2530" s="694">
        <v>42341</v>
      </c>
      <c r="W2530" s="696">
        <v>3166.67</v>
      </c>
    </row>
    <row r="2531" spans="21:23">
      <c r="U2531" s="693">
        <f t="shared" si="39"/>
        <v>42339</v>
      </c>
      <c r="V2531" s="694">
        <v>42342</v>
      </c>
      <c r="W2531" s="696">
        <v>3149.12</v>
      </c>
    </row>
    <row r="2532" spans="21:23">
      <c r="U2532" s="693">
        <f t="shared" si="39"/>
        <v>42339</v>
      </c>
      <c r="V2532" s="694">
        <v>42343</v>
      </c>
      <c r="W2532" s="696">
        <v>3179.22</v>
      </c>
    </row>
    <row r="2533" spans="21:23">
      <c r="U2533" s="693">
        <f t="shared" si="39"/>
        <v>42339</v>
      </c>
      <c r="V2533" s="694">
        <v>42344</v>
      </c>
      <c r="W2533" s="696">
        <v>3179.22</v>
      </c>
    </row>
    <row r="2534" spans="21:23">
      <c r="U2534" s="693">
        <f t="shared" si="39"/>
        <v>42339</v>
      </c>
      <c r="V2534" s="694">
        <v>42345</v>
      </c>
      <c r="W2534" s="696">
        <v>3179.22</v>
      </c>
    </row>
    <row r="2535" spans="21:23">
      <c r="U2535" s="693">
        <f t="shared" si="39"/>
        <v>42339</v>
      </c>
      <c r="V2535" s="694">
        <v>42346</v>
      </c>
      <c r="W2535" s="696">
        <v>3287.03</v>
      </c>
    </row>
    <row r="2536" spans="21:23">
      <c r="U2536" s="693">
        <f t="shared" si="39"/>
        <v>42339</v>
      </c>
      <c r="V2536" s="694">
        <v>42347</v>
      </c>
      <c r="W2536" s="696">
        <v>3287.03</v>
      </c>
    </row>
    <row r="2537" spans="21:23">
      <c r="U2537" s="693">
        <f t="shared" si="39"/>
        <v>42339</v>
      </c>
      <c r="V2537" s="694">
        <v>42348</v>
      </c>
      <c r="W2537" s="696">
        <v>3294.02</v>
      </c>
    </row>
    <row r="2538" spans="21:23">
      <c r="U2538" s="693">
        <f t="shared" si="39"/>
        <v>42339</v>
      </c>
      <c r="V2538" s="694">
        <v>42349</v>
      </c>
      <c r="W2538" s="696">
        <v>3259.56</v>
      </c>
    </row>
    <row r="2539" spans="21:23">
      <c r="U2539" s="693">
        <f t="shared" si="39"/>
        <v>42339</v>
      </c>
      <c r="V2539" s="694">
        <v>42350</v>
      </c>
      <c r="W2539" s="696">
        <v>3299.36</v>
      </c>
    </row>
    <row r="2540" spans="21:23">
      <c r="U2540" s="693">
        <f t="shared" si="39"/>
        <v>42339</v>
      </c>
      <c r="V2540" s="694">
        <v>42351</v>
      </c>
      <c r="W2540" s="696">
        <v>3299.36</v>
      </c>
    </row>
    <row r="2541" spans="21:23">
      <c r="U2541" s="693">
        <f t="shared" si="39"/>
        <v>42339</v>
      </c>
      <c r="V2541" s="694">
        <v>42352</v>
      </c>
      <c r="W2541" s="696">
        <v>3299.36</v>
      </c>
    </row>
    <row r="2542" spans="21:23">
      <c r="U2542" s="693">
        <f t="shared" si="39"/>
        <v>42339</v>
      </c>
      <c r="V2542" s="694">
        <v>42353</v>
      </c>
      <c r="W2542" s="696">
        <v>3356</v>
      </c>
    </row>
    <row r="2543" spans="21:23">
      <c r="U2543" s="693">
        <f t="shared" si="39"/>
        <v>42339</v>
      </c>
      <c r="V2543" s="694">
        <v>42354</v>
      </c>
      <c r="W2543" s="696">
        <v>3328.08</v>
      </c>
    </row>
    <row r="2544" spans="21:23">
      <c r="U2544" s="693">
        <f t="shared" si="39"/>
        <v>42339</v>
      </c>
      <c r="V2544" s="694">
        <v>42355</v>
      </c>
      <c r="W2544" s="696">
        <v>3317.72</v>
      </c>
    </row>
    <row r="2545" spans="21:23">
      <c r="U2545" s="693">
        <f t="shared" si="39"/>
        <v>42339</v>
      </c>
      <c r="V2545" s="694">
        <v>42356</v>
      </c>
      <c r="W2545" s="696">
        <v>3333.37</v>
      </c>
    </row>
    <row r="2546" spans="21:23">
      <c r="U2546" s="693">
        <f t="shared" si="39"/>
        <v>42339</v>
      </c>
      <c r="V2546" s="694">
        <v>42357</v>
      </c>
      <c r="W2546" s="696">
        <v>3337.68</v>
      </c>
    </row>
    <row r="2547" spans="21:23">
      <c r="U2547" s="693">
        <f t="shared" si="39"/>
        <v>42339</v>
      </c>
      <c r="V2547" s="694">
        <v>42358</v>
      </c>
      <c r="W2547" s="696">
        <v>3337.68</v>
      </c>
    </row>
    <row r="2548" spans="21:23">
      <c r="U2548" s="693">
        <f t="shared" si="39"/>
        <v>42339</v>
      </c>
      <c r="V2548" s="694">
        <v>42359</v>
      </c>
      <c r="W2548" s="696">
        <v>3337.68</v>
      </c>
    </row>
    <row r="2549" spans="21:23">
      <c r="U2549" s="693">
        <f t="shared" si="39"/>
        <v>42339</v>
      </c>
      <c r="V2549" s="694">
        <v>42360</v>
      </c>
      <c r="W2549" s="696">
        <v>3332.7</v>
      </c>
    </row>
    <row r="2550" spans="21:23">
      <c r="U2550" s="693">
        <f t="shared" si="39"/>
        <v>42339</v>
      </c>
      <c r="V2550" s="694">
        <v>42361</v>
      </c>
      <c r="W2550" s="696">
        <v>3307.24</v>
      </c>
    </row>
    <row r="2551" spans="21:23">
      <c r="U2551" s="693">
        <f t="shared" si="39"/>
        <v>42339</v>
      </c>
      <c r="V2551" s="694">
        <v>42362</v>
      </c>
      <c r="W2551" s="696">
        <v>3255.19</v>
      </c>
    </row>
    <row r="2552" spans="21:23">
      <c r="U2552" s="693">
        <f t="shared" si="39"/>
        <v>42339</v>
      </c>
      <c r="V2552" s="694">
        <v>42363</v>
      </c>
      <c r="W2552" s="696">
        <v>3172.03</v>
      </c>
    </row>
    <row r="2553" spans="21:23">
      <c r="U2553" s="693">
        <f t="shared" si="39"/>
        <v>42339</v>
      </c>
      <c r="V2553" s="694">
        <v>42364</v>
      </c>
      <c r="W2553" s="696">
        <v>3172.03</v>
      </c>
    </row>
    <row r="2554" spans="21:23">
      <c r="U2554" s="693">
        <f t="shared" si="39"/>
        <v>42339</v>
      </c>
      <c r="V2554" s="694">
        <v>42365</v>
      </c>
      <c r="W2554" s="696">
        <v>3172.03</v>
      </c>
    </row>
    <row r="2555" spans="21:23">
      <c r="U2555" s="693">
        <f t="shared" si="39"/>
        <v>42339</v>
      </c>
      <c r="V2555" s="694">
        <v>42366</v>
      </c>
      <c r="W2555" s="696">
        <v>3172.03</v>
      </c>
    </row>
    <row r="2556" spans="21:23">
      <c r="U2556" s="693">
        <f t="shared" si="39"/>
        <v>42339</v>
      </c>
      <c r="V2556" s="694">
        <v>42367</v>
      </c>
      <c r="W2556" s="696">
        <v>3180.87</v>
      </c>
    </row>
    <row r="2557" spans="21:23">
      <c r="U2557" s="693">
        <f t="shared" si="39"/>
        <v>42339</v>
      </c>
      <c r="V2557" s="694">
        <v>42368</v>
      </c>
      <c r="W2557" s="696">
        <v>3155.22</v>
      </c>
    </row>
    <row r="2558" spans="21:23">
      <c r="U2558" s="693">
        <f t="shared" si="39"/>
        <v>42339</v>
      </c>
      <c r="V2558" s="694">
        <v>42369</v>
      </c>
      <c r="W2558" s="696">
        <v>3149.47</v>
      </c>
    </row>
    <row r="2559" spans="21:23">
      <c r="U2559" s="693">
        <f t="shared" si="39"/>
        <v>42370</v>
      </c>
      <c r="V2559" s="694">
        <v>42370</v>
      </c>
      <c r="W2559" s="696">
        <v>3149.47</v>
      </c>
    </row>
    <row r="2560" spans="21:23">
      <c r="U2560" s="693">
        <f t="shared" si="39"/>
        <v>42370</v>
      </c>
      <c r="V2560" s="694">
        <v>42371</v>
      </c>
      <c r="W2560" s="696">
        <v>3149.47</v>
      </c>
    </row>
    <row r="2561" spans="21:23">
      <c r="U2561" s="693">
        <f t="shared" si="39"/>
        <v>42370</v>
      </c>
      <c r="V2561" s="694">
        <v>42372</v>
      </c>
      <c r="W2561" s="696">
        <v>3149.47</v>
      </c>
    </row>
    <row r="2562" spans="21:23">
      <c r="U2562" s="693">
        <f t="shared" si="39"/>
        <v>42370</v>
      </c>
      <c r="V2562" s="694">
        <v>42373</v>
      </c>
      <c r="W2562" s="696">
        <v>3149.47</v>
      </c>
    </row>
    <row r="2563" spans="21:23">
      <c r="U2563" s="693">
        <f t="shared" ref="U2563:U2626" si="40">+DATE(YEAR(V2563),MONTH(V2563),1)</f>
        <v>42370</v>
      </c>
      <c r="V2563" s="694">
        <v>42374</v>
      </c>
      <c r="W2563" s="696">
        <v>3213.24</v>
      </c>
    </row>
    <row r="2564" spans="21:23">
      <c r="U2564" s="693">
        <f t="shared" si="40"/>
        <v>42370</v>
      </c>
      <c r="V2564" s="694">
        <v>42375</v>
      </c>
      <c r="W2564" s="696">
        <v>3203.86</v>
      </c>
    </row>
    <row r="2565" spans="21:23">
      <c r="U2565" s="693">
        <f t="shared" si="40"/>
        <v>42370</v>
      </c>
      <c r="V2565" s="694">
        <v>42376</v>
      </c>
      <c r="W2565" s="696">
        <v>3250.69</v>
      </c>
    </row>
    <row r="2566" spans="21:23">
      <c r="U2566" s="693">
        <f t="shared" si="40"/>
        <v>42370</v>
      </c>
      <c r="V2566" s="694">
        <v>42377</v>
      </c>
      <c r="W2566" s="696">
        <v>3287.28</v>
      </c>
    </row>
    <row r="2567" spans="21:23">
      <c r="U2567" s="693">
        <f t="shared" si="40"/>
        <v>42370</v>
      </c>
      <c r="V2567" s="694">
        <v>42378</v>
      </c>
      <c r="W2567" s="696">
        <v>3268.37</v>
      </c>
    </row>
    <row r="2568" spans="21:23">
      <c r="U2568" s="693">
        <f t="shared" si="40"/>
        <v>42370</v>
      </c>
      <c r="V2568" s="694">
        <v>42379</v>
      </c>
      <c r="W2568" s="696">
        <v>3268.37</v>
      </c>
    </row>
    <row r="2569" spans="21:23">
      <c r="U2569" s="693">
        <f t="shared" si="40"/>
        <v>42370</v>
      </c>
      <c r="V2569" s="694">
        <v>42380</v>
      </c>
      <c r="W2569" s="696">
        <v>3268.37</v>
      </c>
    </row>
    <row r="2570" spans="21:23">
      <c r="U2570" s="693">
        <f t="shared" si="40"/>
        <v>42370</v>
      </c>
      <c r="V2570" s="694">
        <v>42381</v>
      </c>
      <c r="W2570" s="696">
        <v>3268.37</v>
      </c>
    </row>
    <row r="2571" spans="21:23">
      <c r="U2571" s="693">
        <f t="shared" si="40"/>
        <v>42370</v>
      </c>
      <c r="V2571" s="694">
        <v>42382</v>
      </c>
      <c r="W2571" s="696">
        <v>3246.51</v>
      </c>
    </row>
    <row r="2572" spans="21:23">
      <c r="U2572" s="693">
        <f t="shared" si="40"/>
        <v>42370</v>
      </c>
      <c r="V2572" s="694">
        <v>42383</v>
      </c>
      <c r="W2572" s="696">
        <v>3235.45</v>
      </c>
    </row>
    <row r="2573" spans="21:23">
      <c r="U2573" s="693">
        <f t="shared" si="40"/>
        <v>42370</v>
      </c>
      <c r="V2573" s="694">
        <v>42384</v>
      </c>
      <c r="W2573" s="696">
        <v>3240.71</v>
      </c>
    </row>
    <row r="2574" spans="21:23">
      <c r="U2574" s="693">
        <f t="shared" si="40"/>
        <v>42370</v>
      </c>
      <c r="V2574" s="694">
        <v>42385</v>
      </c>
      <c r="W2574" s="696">
        <v>3293.94</v>
      </c>
    </row>
    <row r="2575" spans="21:23">
      <c r="U2575" s="693">
        <f t="shared" si="40"/>
        <v>42370</v>
      </c>
      <c r="V2575" s="694">
        <v>42386</v>
      </c>
      <c r="W2575" s="696">
        <v>3293.94</v>
      </c>
    </row>
    <row r="2576" spans="21:23">
      <c r="U2576" s="693">
        <f t="shared" si="40"/>
        <v>42370</v>
      </c>
      <c r="V2576" s="694">
        <v>42387</v>
      </c>
      <c r="W2576" s="696">
        <v>3293.94</v>
      </c>
    </row>
    <row r="2577" spans="21:23">
      <c r="U2577" s="693">
        <f t="shared" si="40"/>
        <v>42370</v>
      </c>
      <c r="V2577" s="694">
        <v>42388</v>
      </c>
      <c r="W2577" s="696">
        <v>3293.94</v>
      </c>
    </row>
    <row r="2578" spans="21:23">
      <c r="U2578" s="693">
        <f t="shared" si="40"/>
        <v>42370</v>
      </c>
      <c r="V2578" s="694">
        <v>42389</v>
      </c>
      <c r="W2578" s="696">
        <v>3297.46</v>
      </c>
    </row>
    <row r="2579" spans="21:23">
      <c r="U2579" s="693">
        <f t="shared" si="40"/>
        <v>42370</v>
      </c>
      <c r="V2579" s="694">
        <v>42390</v>
      </c>
      <c r="W2579" s="696">
        <v>3357.67</v>
      </c>
    </row>
    <row r="2580" spans="21:23">
      <c r="U2580" s="693">
        <f t="shared" si="40"/>
        <v>42370</v>
      </c>
      <c r="V2580" s="694">
        <v>42391</v>
      </c>
      <c r="W2580" s="696">
        <v>3368.49</v>
      </c>
    </row>
    <row r="2581" spans="21:23">
      <c r="U2581" s="693">
        <f t="shared" si="40"/>
        <v>42370</v>
      </c>
      <c r="V2581" s="694">
        <v>42392</v>
      </c>
      <c r="W2581" s="696">
        <v>3281.74</v>
      </c>
    </row>
    <row r="2582" spans="21:23">
      <c r="U2582" s="693">
        <f t="shared" si="40"/>
        <v>42370</v>
      </c>
      <c r="V2582" s="694">
        <v>42393</v>
      </c>
      <c r="W2582" s="696">
        <v>3281.74</v>
      </c>
    </row>
    <row r="2583" spans="21:23">
      <c r="U2583" s="693">
        <f t="shared" si="40"/>
        <v>42370</v>
      </c>
      <c r="V2583" s="694">
        <v>42394</v>
      </c>
      <c r="W2583" s="696">
        <v>3281.74</v>
      </c>
    </row>
    <row r="2584" spans="21:23">
      <c r="U2584" s="693">
        <f t="shared" si="40"/>
        <v>42370</v>
      </c>
      <c r="V2584" s="694">
        <v>42395</v>
      </c>
      <c r="W2584" s="696">
        <v>3362.38</v>
      </c>
    </row>
    <row r="2585" spans="21:23">
      <c r="U2585" s="693">
        <f t="shared" si="40"/>
        <v>42370</v>
      </c>
      <c r="V2585" s="694">
        <v>42396</v>
      </c>
      <c r="W2585" s="696">
        <v>3375.8</v>
      </c>
    </row>
    <row r="2586" spans="21:23">
      <c r="U2586" s="693">
        <f t="shared" si="40"/>
        <v>42370</v>
      </c>
      <c r="V2586" s="694">
        <v>42397</v>
      </c>
      <c r="W2586" s="696">
        <v>3366.63</v>
      </c>
    </row>
    <row r="2587" spans="21:23">
      <c r="U2587" s="693">
        <f t="shared" si="40"/>
        <v>42370</v>
      </c>
      <c r="V2587" s="694">
        <v>42398</v>
      </c>
      <c r="W2587" s="696">
        <v>3302.92</v>
      </c>
    </row>
    <row r="2588" spans="21:23">
      <c r="U2588" s="693">
        <f t="shared" si="40"/>
        <v>42370</v>
      </c>
      <c r="V2588" s="694">
        <v>42399</v>
      </c>
      <c r="W2588" s="696">
        <v>3287.31</v>
      </c>
    </row>
    <row r="2589" spans="21:23">
      <c r="U2589" s="693">
        <f t="shared" si="40"/>
        <v>42370</v>
      </c>
      <c r="V2589" s="694">
        <v>42400</v>
      </c>
      <c r="W2589" s="696">
        <v>3287.31</v>
      </c>
    </row>
    <row r="2590" spans="21:23">
      <c r="U2590" s="693">
        <f t="shared" si="40"/>
        <v>42401</v>
      </c>
      <c r="V2590" s="694">
        <v>42401</v>
      </c>
      <c r="W2590" s="696">
        <v>3287.31</v>
      </c>
    </row>
    <row r="2591" spans="21:23">
      <c r="U2591" s="693">
        <f t="shared" si="40"/>
        <v>42401</v>
      </c>
      <c r="V2591" s="694">
        <v>42402</v>
      </c>
      <c r="W2591" s="696">
        <v>3326.82</v>
      </c>
    </row>
    <row r="2592" spans="21:23">
      <c r="U2592" s="693">
        <f t="shared" si="40"/>
        <v>42401</v>
      </c>
      <c r="V2592" s="694">
        <v>42403</v>
      </c>
      <c r="W2592" s="696">
        <v>3387.69</v>
      </c>
    </row>
    <row r="2593" spans="21:23">
      <c r="U2593" s="693">
        <f t="shared" si="40"/>
        <v>42401</v>
      </c>
      <c r="V2593" s="694">
        <v>42404</v>
      </c>
      <c r="W2593" s="696">
        <v>3382.2</v>
      </c>
    </row>
    <row r="2594" spans="21:23">
      <c r="U2594" s="693">
        <f t="shared" si="40"/>
        <v>42401</v>
      </c>
      <c r="V2594" s="694">
        <v>42405</v>
      </c>
      <c r="W2594" s="696">
        <v>3315.75</v>
      </c>
    </row>
    <row r="2595" spans="21:23">
      <c r="U2595" s="693">
        <f t="shared" si="40"/>
        <v>42401</v>
      </c>
      <c r="V2595" s="694">
        <v>42406</v>
      </c>
      <c r="W2595" s="696">
        <v>3320.49</v>
      </c>
    </row>
    <row r="2596" spans="21:23">
      <c r="U2596" s="693">
        <f t="shared" si="40"/>
        <v>42401</v>
      </c>
      <c r="V2596" s="694">
        <v>42407</v>
      </c>
      <c r="W2596" s="696">
        <v>3320.49</v>
      </c>
    </row>
    <row r="2597" spans="21:23">
      <c r="U2597" s="693">
        <f t="shared" si="40"/>
        <v>42401</v>
      </c>
      <c r="V2597" s="694">
        <v>42408</v>
      </c>
      <c r="W2597" s="696">
        <v>3320.49</v>
      </c>
    </row>
    <row r="2598" spans="21:23">
      <c r="U2598" s="693">
        <f t="shared" si="40"/>
        <v>42401</v>
      </c>
      <c r="V2598" s="694">
        <v>42409</v>
      </c>
      <c r="W2598" s="696">
        <v>3367.02</v>
      </c>
    </row>
    <row r="2599" spans="21:23">
      <c r="U2599" s="693">
        <f t="shared" si="40"/>
        <v>42401</v>
      </c>
      <c r="V2599" s="694">
        <v>42410</v>
      </c>
      <c r="W2599" s="696">
        <v>3391.93</v>
      </c>
    </row>
    <row r="2600" spans="21:23">
      <c r="U2600" s="693">
        <f t="shared" si="40"/>
        <v>42401</v>
      </c>
      <c r="V2600" s="694">
        <v>42411</v>
      </c>
      <c r="W2600" s="696">
        <v>3385.65</v>
      </c>
    </row>
    <row r="2601" spans="21:23">
      <c r="U2601" s="693">
        <f t="shared" si="40"/>
        <v>42401</v>
      </c>
      <c r="V2601" s="694">
        <v>42412</v>
      </c>
      <c r="W2601" s="696">
        <v>3434.89</v>
      </c>
    </row>
    <row r="2602" spans="21:23">
      <c r="U2602" s="693">
        <f t="shared" si="40"/>
        <v>42401</v>
      </c>
      <c r="V2602" s="694">
        <v>42413</v>
      </c>
      <c r="W2602" s="696">
        <v>3409.82</v>
      </c>
    </row>
    <row r="2603" spans="21:23">
      <c r="U2603" s="693">
        <f t="shared" si="40"/>
        <v>42401</v>
      </c>
      <c r="V2603" s="694">
        <v>42414</v>
      </c>
      <c r="W2603" s="696">
        <v>3409.82</v>
      </c>
    </row>
    <row r="2604" spans="21:23">
      <c r="U2604" s="693">
        <f t="shared" si="40"/>
        <v>42401</v>
      </c>
      <c r="V2604" s="694">
        <v>42415</v>
      </c>
      <c r="W2604" s="696">
        <v>3409.82</v>
      </c>
    </row>
    <row r="2605" spans="21:23">
      <c r="U2605" s="693">
        <f t="shared" si="40"/>
        <v>42401</v>
      </c>
      <c r="V2605" s="694">
        <v>42416</v>
      </c>
      <c r="W2605" s="696">
        <v>3409.82</v>
      </c>
    </row>
    <row r="2606" spans="21:23">
      <c r="U2606" s="693">
        <f t="shared" si="40"/>
        <v>42401</v>
      </c>
      <c r="V2606" s="694">
        <v>42417</v>
      </c>
      <c r="W2606" s="696">
        <v>3406.87</v>
      </c>
    </row>
    <row r="2607" spans="21:23">
      <c r="U2607" s="693">
        <f t="shared" si="40"/>
        <v>42401</v>
      </c>
      <c r="V2607" s="694">
        <v>42418</v>
      </c>
      <c r="W2607" s="696">
        <v>3391.87</v>
      </c>
    </row>
    <row r="2608" spans="21:23">
      <c r="U2608" s="693">
        <f t="shared" si="40"/>
        <v>42401</v>
      </c>
      <c r="V2608" s="694">
        <v>42419</v>
      </c>
      <c r="W2608" s="696">
        <v>3338.03</v>
      </c>
    </row>
    <row r="2609" spans="21:23">
      <c r="U2609" s="693">
        <f t="shared" si="40"/>
        <v>42401</v>
      </c>
      <c r="V2609" s="694">
        <v>42420</v>
      </c>
      <c r="W2609" s="696">
        <v>3356.78</v>
      </c>
    </row>
    <row r="2610" spans="21:23">
      <c r="U2610" s="693">
        <f t="shared" si="40"/>
        <v>42401</v>
      </c>
      <c r="V2610" s="694">
        <v>42421</v>
      </c>
      <c r="W2610" s="696">
        <v>3356.78</v>
      </c>
    </row>
    <row r="2611" spans="21:23">
      <c r="U2611" s="693">
        <f t="shared" si="40"/>
        <v>42401</v>
      </c>
      <c r="V2611" s="694">
        <v>42422</v>
      </c>
      <c r="W2611" s="696">
        <v>3356.78</v>
      </c>
    </row>
    <row r="2612" spans="21:23">
      <c r="U2612" s="693">
        <f t="shared" si="40"/>
        <v>42401</v>
      </c>
      <c r="V2612" s="694">
        <v>42423</v>
      </c>
      <c r="W2612" s="696">
        <v>3314.24</v>
      </c>
    </row>
    <row r="2613" spans="21:23">
      <c r="U2613" s="693">
        <f t="shared" si="40"/>
        <v>42401</v>
      </c>
      <c r="V2613" s="694">
        <v>42424</v>
      </c>
      <c r="W2613" s="696">
        <v>3322.54</v>
      </c>
    </row>
    <row r="2614" spans="21:23">
      <c r="U2614" s="693">
        <f t="shared" si="40"/>
        <v>42401</v>
      </c>
      <c r="V2614" s="694">
        <v>42425</v>
      </c>
      <c r="W2614" s="696">
        <v>3341.69</v>
      </c>
    </row>
    <row r="2615" spans="21:23">
      <c r="U2615" s="693">
        <f t="shared" si="40"/>
        <v>42401</v>
      </c>
      <c r="V2615" s="694">
        <v>42426</v>
      </c>
      <c r="W2615" s="696">
        <v>3310.16</v>
      </c>
    </row>
    <row r="2616" spans="21:23">
      <c r="U2616" s="693">
        <f t="shared" si="40"/>
        <v>42401</v>
      </c>
      <c r="V2616" s="694">
        <v>42427</v>
      </c>
      <c r="W2616" s="696">
        <v>3306</v>
      </c>
    </row>
    <row r="2617" spans="21:23">
      <c r="U2617" s="693">
        <f t="shared" si="40"/>
        <v>42401</v>
      </c>
      <c r="V2617" s="694">
        <v>42428</v>
      </c>
      <c r="W2617" s="696">
        <v>3306</v>
      </c>
    </row>
    <row r="2618" spans="21:23">
      <c r="U2618" s="693">
        <f t="shared" si="40"/>
        <v>42401</v>
      </c>
      <c r="V2618" s="694">
        <v>42429</v>
      </c>
      <c r="W2618" s="696">
        <v>3306</v>
      </c>
    </row>
    <row r="2619" spans="21:23">
      <c r="U2619" s="693">
        <f t="shared" si="40"/>
        <v>42430</v>
      </c>
      <c r="V2619" s="694">
        <v>42430</v>
      </c>
      <c r="W2619" s="696">
        <v>3319.8</v>
      </c>
    </row>
    <row r="2620" spans="21:23">
      <c r="U2620" s="693">
        <f t="shared" si="40"/>
        <v>42430</v>
      </c>
      <c r="V2620" s="694">
        <v>42431</v>
      </c>
      <c r="W2620" s="696">
        <v>3268.86</v>
      </c>
    </row>
    <row r="2621" spans="21:23">
      <c r="U2621" s="693">
        <f t="shared" si="40"/>
        <v>42430</v>
      </c>
      <c r="V2621" s="694">
        <v>42432</v>
      </c>
      <c r="W2621" s="696">
        <v>3205.6</v>
      </c>
    </row>
    <row r="2622" spans="21:23">
      <c r="U2622" s="693">
        <f t="shared" si="40"/>
        <v>42430</v>
      </c>
      <c r="V2622" s="694">
        <v>42433</v>
      </c>
      <c r="W2622" s="696">
        <v>3203.03</v>
      </c>
    </row>
    <row r="2623" spans="21:23">
      <c r="U2623" s="693">
        <f t="shared" si="40"/>
        <v>42430</v>
      </c>
      <c r="V2623" s="694">
        <v>42434</v>
      </c>
      <c r="W2623" s="696">
        <v>3163.25</v>
      </c>
    </row>
    <row r="2624" spans="21:23">
      <c r="U2624" s="693">
        <f t="shared" si="40"/>
        <v>42430</v>
      </c>
      <c r="V2624" s="694">
        <v>42435</v>
      </c>
      <c r="W2624" s="696">
        <v>3163.25</v>
      </c>
    </row>
    <row r="2625" spans="21:23">
      <c r="U2625" s="693">
        <f t="shared" si="40"/>
        <v>42430</v>
      </c>
      <c r="V2625" s="694">
        <v>42436</v>
      </c>
      <c r="W2625" s="696">
        <v>3163.25</v>
      </c>
    </row>
    <row r="2626" spans="21:23">
      <c r="U2626" s="693">
        <f t="shared" si="40"/>
        <v>42430</v>
      </c>
      <c r="V2626" s="694">
        <v>42437</v>
      </c>
      <c r="W2626" s="696">
        <v>3135.28</v>
      </c>
    </row>
    <row r="2627" spans="21:23">
      <c r="U2627" s="693">
        <f t="shared" ref="U2627:U2690" si="41">+DATE(YEAR(V2627),MONTH(V2627),1)</f>
        <v>42430</v>
      </c>
      <c r="V2627" s="694">
        <v>42438</v>
      </c>
      <c r="W2627" s="696">
        <v>3155.9</v>
      </c>
    </row>
    <row r="2628" spans="21:23">
      <c r="U2628" s="693">
        <f t="shared" si="41"/>
        <v>42430</v>
      </c>
      <c r="V2628" s="694">
        <v>42439</v>
      </c>
      <c r="W2628" s="696">
        <v>3192.49</v>
      </c>
    </row>
    <row r="2629" spans="21:23">
      <c r="U2629" s="693">
        <f t="shared" si="41"/>
        <v>42430</v>
      </c>
      <c r="V2629" s="694">
        <v>42440</v>
      </c>
      <c r="W2629" s="696">
        <v>3204.27</v>
      </c>
    </row>
    <row r="2630" spans="21:23">
      <c r="U2630" s="693">
        <f t="shared" si="41"/>
        <v>42430</v>
      </c>
      <c r="V2630" s="694">
        <v>42441</v>
      </c>
      <c r="W2630" s="696">
        <v>3164.12</v>
      </c>
    </row>
    <row r="2631" spans="21:23">
      <c r="U2631" s="693">
        <f t="shared" si="41"/>
        <v>42430</v>
      </c>
      <c r="V2631" s="694">
        <v>42442</v>
      </c>
      <c r="W2631" s="696">
        <v>3164.12</v>
      </c>
    </row>
    <row r="2632" spans="21:23">
      <c r="U2632" s="693">
        <f t="shared" si="41"/>
        <v>42430</v>
      </c>
      <c r="V2632" s="694">
        <v>42443</v>
      </c>
      <c r="W2632" s="696">
        <v>3164.12</v>
      </c>
    </row>
    <row r="2633" spans="21:23">
      <c r="U2633" s="693">
        <f t="shared" si="41"/>
        <v>42430</v>
      </c>
      <c r="V2633" s="694">
        <v>42444</v>
      </c>
      <c r="W2633" s="696">
        <v>3175.95</v>
      </c>
    </row>
    <row r="2634" spans="21:23">
      <c r="U2634" s="693">
        <f t="shared" si="41"/>
        <v>42430</v>
      </c>
      <c r="V2634" s="694">
        <v>42445</v>
      </c>
      <c r="W2634" s="696">
        <v>3175.88</v>
      </c>
    </row>
    <row r="2635" spans="21:23">
      <c r="U2635" s="693">
        <f t="shared" si="41"/>
        <v>42430</v>
      </c>
      <c r="V2635" s="694">
        <v>42446</v>
      </c>
      <c r="W2635" s="696">
        <v>3155.9</v>
      </c>
    </row>
    <row r="2636" spans="21:23">
      <c r="U2636" s="693">
        <f t="shared" si="41"/>
        <v>42430</v>
      </c>
      <c r="V2636" s="694">
        <v>42447</v>
      </c>
      <c r="W2636" s="696">
        <v>3087.39</v>
      </c>
    </row>
    <row r="2637" spans="21:23">
      <c r="U2637" s="693">
        <f t="shared" si="41"/>
        <v>42430</v>
      </c>
      <c r="V2637" s="694">
        <v>42448</v>
      </c>
      <c r="W2637" s="696">
        <v>3065.79</v>
      </c>
    </row>
    <row r="2638" spans="21:23">
      <c r="U2638" s="693">
        <f t="shared" si="41"/>
        <v>42430</v>
      </c>
      <c r="V2638" s="694">
        <v>42449</v>
      </c>
      <c r="W2638" s="696">
        <v>3065.79</v>
      </c>
    </row>
    <row r="2639" spans="21:23">
      <c r="U2639" s="693">
        <f t="shared" si="41"/>
        <v>42430</v>
      </c>
      <c r="V2639" s="694">
        <v>42450</v>
      </c>
      <c r="W2639" s="696">
        <v>3065.79</v>
      </c>
    </row>
    <row r="2640" spans="21:23">
      <c r="U2640" s="693">
        <f t="shared" si="41"/>
        <v>42430</v>
      </c>
      <c r="V2640" s="694">
        <v>42451</v>
      </c>
      <c r="W2640" s="696">
        <v>3065.79</v>
      </c>
    </row>
    <row r="2641" spans="21:23">
      <c r="U2641" s="693">
        <f t="shared" si="41"/>
        <v>42430</v>
      </c>
      <c r="V2641" s="694">
        <v>42452</v>
      </c>
      <c r="W2641" s="696">
        <v>3050.31</v>
      </c>
    </row>
    <row r="2642" spans="21:23">
      <c r="U2642" s="693">
        <f t="shared" si="41"/>
        <v>42430</v>
      </c>
      <c r="V2642" s="694">
        <v>42453</v>
      </c>
      <c r="W2642" s="696">
        <v>3058.8</v>
      </c>
    </row>
    <row r="2643" spans="21:23">
      <c r="U2643" s="693">
        <f t="shared" si="41"/>
        <v>42430</v>
      </c>
      <c r="V2643" s="694">
        <v>42454</v>
      </c>
      <c r="W2643" s="696">
        <v>3058.8</v>
      </c>
    </row>
    <row r="2644" spans="21:23">
      <c r="U2644" s="693">
        <f t="shared" si="41"/>
        <v>42430</v>
      </c>
      <c r="V2644" s="694">
        <v>42455</v>
      </c>
      <c r="W2644" s="696">
        <v>3058.8</v>
      </c>
    </row>
    <row r="2645" spans="21:23">
      <c r="U2645" s="693">
        <f t="shared" si="41"/>
        <v>42430</v>
      </c>
      <c r="V2645" s="694">
        <v>42456</v>
      </c>
      <c r="W2645" s="696">
        <v>3058.8</v>
      </c>
    </row>
    <row r="2646" spans="21:23">
      <c r="U2646" s="693">
        <f t="shared" si="41"/>
        <v>42430</v>
      </c>
      <c r="V2646" s="694">
        <v>42457</v>
      </c>
      <c r="W2646" s="696">
        <v>3058.8</v>
      </c>
    </row>
    <row r="2647" spans="21:23">
      <c r="U2647" s="693">
        <f t="shared" si="41"/>
        <v>42430</v>
      </c>
      <c r="V2647" s="694">
        <v>42458</v>
      </c>
      <c r="W2647" s="696">
        <v>3047.85</v>
      </c>
    </row>
    <row r="2648" spans="21:23">
      <c r="U2648" s="693">
        <f t="shared" si="41"/>
        <v>42430</v>
      </c>
      <c r="V2648" s="694">
        <v>42459</v>
      </c>
      <c r="W2648" s="696">
        <v>3052.33</v>
      </c>
    </row>
    <row r="2649" spans="21:23">
      <c r="U2649" s="693">
        <f t="shared" si="41"/>
        <v>42430</v>
      </c>
      <c r="V2649" s="694">
        <v>42460</v>
      </c>
      <c r="W2649" s="696">
        <v>3022.35</v>
      </c>
    </row>
    <row r="2650" spans="21:23">
      <c r="U2650" s="693">
        <f t="shared" si="41"/>
        <v>42461</v>
      </c>
      <c r="V2650" s="694">
        <v>42461</v>
      </c>
      <c r="W2650" s="696">
        <v>3000.63</v>
      </c>
    </row>
    <row r="2651" spans="21:23">
      <c r="U2651" s="693">
        <f t="shared" si="41"/>
        <v>42461</v>
      </c>
      <c r="V2651" s="694">
        <v>42462</v>
      </c>
      <c r="W2651" s="696">
        <v>3038.48</v>
      </c>
    </row>
    <row r="2652" spans="21:23">
      <c r="U2652" s="693">
        <f t="shared" si="41"/>
        <v>42461</v>
      </c>
      <c r="V2652" s="694">
        <v>42463</v>
      </c>
      <c r="W2652" s="696">
        <v>3038.48</v>
      </c>
    </row>
    <row r="2653" spans="21:23">
      <c r="U2653" s="693">
        <f t="shared" si="41"/>
        <v>42461</v>
      </c>
      <c r="V2653" s="694">
        <v>42464</v>
      </c>
      <c r="W2653" s="696">
        <v>3038.48</v>
      </c>
    </row>
    <row r="2654" spans="21:23">
      <c r="U2654" s="693">
        <f t="shared" si="41"/>
        <v>42461</v>
      </c>
      <c r="V2654" s="694">
        <v>42465</v>
      </c>
      <c r="W2654" s="696">
        <v>3066.94</v>
      </c>
    </row>
    <row r="2655" spans="21:23">
      <c r="U2655" s="693">
        <f t="shared" si="41"/>
        <v>42461</v>
      </c>
      <c r="V2655" s="694">
        <v>42466</v>
      </c>
      <c r="W2655" s="696">
        <v>3085.82</v>
      </c>
    </row>
    <row r="2656" spans="21:23">
      <c r="U2656" s="693">
        <f t="shared" si="41"/>
        <v>42461</v>
      </c>
      <c r="V2656" s="694">
        <v>42467</v>
      </c>
      <c r="W2656" s="696">
        <v>3081.39</v>
      </c>
    </row>
    <row r="2657" spans="21:23">
      <c r="U2657" s="693">
        <f t="shared" si="41"/>
        <v>42461</v>
      </c>
      <c r="V2657" s="694">
        <v>42468</v>
      </c>
      <c r="W2657" s="696">
        <v>3109.6</v>
      </c>
    </row>
    <row r="2658" spans="21:23">
      <c r="U2658" s="693">
        <f t="shared" si="41"/>
        <v>42461</v>
      </c>
      <c r="V2658" s="694">
        <v>42469</v>
      </c>
      <c r="W2658" s="696">
        <v>3076.29</v>
      </c>
    </row>
    <row r="2659" spans="21:23">
      <c r="U2659" s="693">
        <f t="shared" si="41"/>
        <v>42461</v>
      </c>
      <c r="V2659" s="694">
        <v>42470</v>
      </c>
      <c r="W2659" s="696">
        <v>3076.29</v>
      </c>
    </row>
    <row r="2660" spans="21:23">
      <c r="U2660" s="693">
        <f t="shared" si="41"/>
        <v>42461</v>
      </c>
      <c r="V2660" s="694">
        <v>42471</v>
      </c>
      <c r="W2660" s="696">
        <v>3076.29</v>
      </c>
    </row>
    <row r="2661" spans="21:23">
      <c r="U2661" s="693">
        <f t="shared" si="41"/>
        <v>42461</v>
      </c>
      <c r="V2661" s="694">
        <v>42472</v>
      </c>
      <c r="W2661" s="696">
        <v>3057.96</v>
      </c>
    </row>
    <row r="2662" spans="21:23">
      <c r="U2662" s="693">
        <f t="shared" si="41"/>
        <v>42461</v>
      </c>
      <c r="V2662" s="694">
        <v>42473</v>
      </c>
      <c r="W2662" s="696">
        <v>3036.57</v>
      </c>
    </row>
    <row r="2663" spans="21:23">
      <c r="U2663" s="693">
        <f t="shared" si="41"/>
        <v>42461</v>
      </c>
      <c r="V2663" s="694">
        <v>42474</v>
      </c>
      <c r="W2663" s="696">
        <v>3006.35</v>
      </c>
    </row>
    <row r="2664" spans="21:23">
      <c r="U2664" s="693">
        <f t="shared" si="41"/>
        <v>42461</v>
      </c>
      <c r="V2664" s="694">
        <v>42475</v>
      </c>
      <c r="W2664" s="696">
        <v>3000.78</v>
      </c>
    </row>
    <row r="2665" spans="21:23">
      <c r="U2665" s="693">
        <f t="shared" si="41"/>
        <v>42461</v>
      </c>
      <c r="V2665" s="694">
        <v>42476</v>
      </c>
      <c r="W2665" s="696">
        <v>2999.38</v>
      </c>
    </row>
    <row r="2666" spans="21:23">
      <c r="U2666" s="693">
        <f t="shared" si="41"/>
        <v>42461</v>
      </c>
      <c r="V2666" s="694">
        <v>42477</v>
      </c>
      <c r="W2666" s="696">
        <v>2999.38</v>
      </c>
    </row>
    <row r="2667" spans="21:23">
      <c r="U2667" s="693">
        <f t="shared" si="41"/>
        <v>42461</v>
      </c>
      <c r="V2667" s="694">
        <v>42478</v>
      </c>
      <c r="W2667" s="696">
        <v>2999.38</v>
      </c>
    </row>
    <row r="2668" spans="21:23">
      <c r="U2668" s="693">
        <f t="shared" si="41"/>
        <v>42461</v>
      </c>
      <c r="V2668" s="694">
        <v>42479</v>
      </c>
      <c r="W2668" s="696">
        <v>2995.86</v>
      </c>
    </row>
    <row r="2669" spans="21:23">
      <c r="U2669" s="693">
        <f t="shared" si="41"/>
        <v>42461</v>
      </c>
      <c r="V2669" s="694">
        <v>42480</v>
      </c>
      <c r="W2669" s="696">
        <v>2912.2</v>
      </c>
    </row>
    <row r="2670" spans="21:23">
      <c r="U2670" s="693">
        <f t="shared" si="41"/>
        <v>42461</v>
      </c>
      <c r="V2670" s="694">
        <v>42481</v>
      </c>
      <c r="W2670" s="696">
        <v>2899.92</v>
      </c>
    </row>
    <row r="2671" spans="21:23">
      <c r="U2671" s="693">
        <f t="shared" si="41"/>
        <v>42461</v>
      </c>
      <c r="V2671" s="694">
        <v>42482</v>
      </c>
      <c r="W2671" s="696">
        <v>2928.7</v>
      </c>
    </row>
    <row r="2672" spans="21:23">
      <c r="U2672" s="693">
        <f t="shared" si="41"/>
        <v>42461</v>
      </c>
      <c r="V2672" s="694">
        <v>42483</v>
      </c>
      <c r="W2672" s="696">
        <v>2939.7</v>
      </c>
    </row>
    <row r="2673" spans="21:23">
      <c r="U2673" s="693">
        <f t="shared" si="41"/>
        <v>42461</v>
      </c>
      <c r="V2673" s="694">
        <v>42484</v>
      </c>
      <c r="W2673" s="696">
        <v>2939.7</v>
      </c>
    </row>
    <row r="2674" spans="21:23">
      <c r="U2674" s="693">
        <f t="shared" si="41"/>
        <v>42461</v>
      </c>
      <c r="V2674" s="694">
        <v>42485</v>
      </c>
      <c r="W2674" s="696">
        <v>2939.7</v>
      </c>
    </row>
    <row r="2675" spans="21:23">
      <c r="U2675" s="693">
        <f t="shared" si="41"/>
        <v>42461</v>
      </c>
      <c r="V2675" s="694">
        <v>42486</v>
      </c>
      <c r="W2675" s="696">
        <v>2962.08</v>
      </c>
    </row>
    <row r="2676" spans="21:23">
      <c r="U2676" s="693">
        <f t="shared" si="41"/>
        <v>42461</v>
      </c>
      <c r="V2676" s="694">
        <v>42487</v>
      </c>
      <c r="W2676" s="696">
        <v>2945.37</v>
      </c>
    </row>
    <row r="2677" spans="21:23">
      <c r="U2677" s="693">
        <f t="shared" si="41"/>
        <v>42461</v>
      </c>
      <c r="V2677" s="694">
        <v>42488</v>
      </c>
      <c r="W2677" s="696">
        <v>2943.23</v>
      </c>
    </row>
    <row r="2678" spans="21:23">
      <c r="U2678" s="693">
        <f t="shared" si="41"/>
        <v>42461</v>
      </c>
      <c r="V2678" s="694">
        <v>42489</v>
      </c>
      <c r="W2678" s="696">
        <v>2885.72</v>
      </c>
    </row>
    <row r="2679" spans="21:23">
      <c r="U2679" s="693">
        <f t="shared" si="41"/>
        <v>42461</v>
      </c>
      <c r="V2679" s="694">
        <v>42490</v>
      </c>
      <c r="W2679" s="696">
        <v>2851.14</v>
      </c>
    </row>
    <row r="2680" spans="21:23">
      <c r="U2680" s="693">
        <f t="shared" si="41"/>
        <v>42491</v>
      </c>
      <c r="V2680" s="694">
        <v>42491</v>
      </c>
      <c r="W2680" s="696">
        <v>2851.14</v>
      </c>
    </row>
    <row r="2681" spans="21:23">
      <c r="U2681" s="693">
        <f t="shared" si="41"/>
        <v>42491</v>
      </c>
      <c r="V2681" s="694">
        <v>42492</v>
      </c>
      <c r="W2681" s="696">
        <v>2851.14</v>
      </c>
    </row>
    <row r="2682" spans="21:23">
      <c r="U2682" s="693">
        <f t="shared" si="41"/>
        <v>42491</v>
      </c>
      <c r="V2682" s="694">
        <v>42493</v>
      </c>
      <c r="W2682" s="696">
        <v>2833.78</v>
      </c>
    </row>
    <row r="2683" spans="21:23">
      <c r="U2683" s="693">
        <f t="shared" si="41"/>
        <v>42491</v>
      </c>
      <c r="V2683" s="694">
        <v>42494</v>
      </c>
      <c r="W2683" s="696">
        <v>2895.51</v>
      </c>
    </row>
    <row r="2684" spans="21:23">
      <c r="U2684" s="693">
        <f t="shared" si="41"/>
        <v>42491</v>
      </c>
      <c r="V2684" s="694">
        <v>42495</v>
      </c>
      <c r="W2684" s="696">
        <v>2942.16</v>
      </c>
    </row>
    <row r="2685" spans="21:23">
      <c r="U2685" s="693">
        <f t="shared" si="41"/>
        <v>42491</v>
      </c>
      <c r="V2685" s="694">
        <v>42496</v>
      </c>
      <c r="W2685" s="696">
        <v>2952.37</v>
      </c>
    </row>
    <row r="2686" spans="21:23">
      <c r="U2686" s="693">
        <f t="shared" si="41"/>
        <v>42491</v>
      </c>
      <c r="V2686" s="694">
        <v>42497</v>
      </c>
      <c r="W2686" s="696">
        <v>2969.62</v>
      </c>
    </row>
    <row r="2687" spans="21:23">
      <c r="U2687" s="693">
        <f t="shared" si="41"/>
        <v>42491</v>
      </c>
      <c r="V2687" s="694">
        <v>42498</v>
      </c>
      <c r="W2687" s="696">
        <v>2969.62</v>
      </c>
    </row>
    <row r="2688" spans="21:23">
      <c r="U2688" s="693">
        <f t="shared" si="41"/>
        <v>42491</v>
      </c>
      <c r="V2688" s="694">
        <v>42499</v>
      </c>
      <c r="W2688" s="696">
        <v>2969.62</v>
      </c>
    </row>
    <row r="2689" spans="21:23">
      <c r="U2689" s="693">
        <f t="shared" si="41"/>
        <v>42491</v>
      </c>
      <c r="V2689" s="694">
        <v>42500</v>
      </c>
      <c r="W2689" s="696">
        <v>2969.62</v>
      </c>
    </row>
    <row r="2690" spans="21:23">
      <c r="U2690" s="693">
        <f t="shared" si="41"/>
        <v>42491</v>
      </c>
      <c r="V2690" s="694">
        <v>42501</v>
      </c>
      <c r="W2690" s="696">
        <v>2979.54</v>
      </c>
    </row>
    <row r="2691" spans="21:23">
      <c r="U2691" s="693">
        <f t="shared" ref="U2691:U2754" si="42">+DATE(YEAR(V2691),MONTH(V2691),1)</f>
        <v>42491</v>
      </c>
      <c r="V2691" s="694">
        <v>42502</v>
      </c>
      <c r="W2691" s="696">
        <v>2956.82</v>
      </c>
    </row>
    <row r="2692" spans="21:23">
      <c r="U2692" s="693">
        <f t="shared" si="42"/>
        <v>42491</v>
      </c>
      <c r="V2692" s="694">
        <v>42503</v>
      </c>
      <c r="W2692" s="696">
        <v>2934.88</v>
      </c>
    </row>
    <row r="2693" spans="21:23">
      <c r="U2693" s="693">
        <f t="shared" si="42"/>
        <v>42491</v>
      </c>
      <c r="V2693" s="694">
        <v>42504</v>
      </c>
      <c r="W2693" s="696">
        <v>2983.82</v>
      </c>
    </row>
    <row r="2694" spans="21:23">
      <c r="U2694" s="693">
        <f t="shared" si="42"/>
        <v>42491</v>
      </c>
      <c r="V2694" s="694">
        <v>42505</v>
      </c>
      <c r="W2694" s="696">
        <v>2983.82</v>
      </c>
    </row>
    <row r="2695" spans="21:23">
      <c r="U2695" s="693">
        <f t="shared" si="42"/>
        <v>42491</v>
      </c>
      <c r="V2695" s="694">
        <v>42506</v>
      </c>
      <c r="W2695" s="696">
        <v>2983.82</v>
      </c>
    </row>
    <row r="2696" spans="21:23">
      <c r="U2696" s="693">
        <f t="shared" si="42"/>
        <v>42491</v>
      </c>
      <c r="V2696" s="694">
        <v>42507</v>
      </c>
      <c r="W2696" s="696">
        <v>3007.74</v>
      </c>
    </row>
    <row r="2697" spans="21:23">
      <c r="U2697" s="693">
        <f t="shared" si="42"/>
        <v>42491</v>
      </c>
      <c r="V2697" s="694">
        <v>42508</v>
      </c>
      <c r="W2697" s="696">
        <v>3020.89</v>
      </c>
    </row>
    <row r="2698" spans="21:23">
      <c r="U2698" s="693">
        <f t="shared" si="42"/>
        <v>42491</v>
      </c>
      <c r="V2698" s="694">
        <v>42509</v>
      </c>
      <c r="W2698" s="696">
        <v>3031.48</v>
      </c>
    </row>
    <row r="2699" spans="21:23">
      <c r="U2699" s="693">
        <f t="shared" si="42"/>
        <v>42491</v>
      </c>
      <c r="V2699" s="694">
        <v>42510</v>
      </c>
      <c r="W2699" s="696">
        <v>3056.06</v>
      </c>
    </row>
    <row r="2700" spans="21:23">
      <c r="U2700" s="693">
        <f t="shared" si="42"/>
        <v>42491</v>
      </c>
      <c r="V2700" s="694">
        <v>42511</v>
      </c>
      <c r="W2700" s="696">
        <v>3047.99</v>
      </c>
    </row>
    <row r="2701" spans="21:23">
      <c r="U2701" s="693">
        <f t="shared" si="42"/>
        <v>42491</v>
      </c>
      <c r="V2701" s="694">
        <v>42512</v>
      </c>
      <c r="W2701" s="696">
        <v>3047.99</v>
      </c>
    </row>
    <row r="2702" spans="21:23">
      <c r="U2702" s="693">
        <f t="shared" si="42"/>
        <v>42491</v>
      </c>
      <c r="V2702" s="694">
        <v>42513</v>
      </c>
      <c r="W2702" s="696">
        <v>3047.99</v>
      </c>
    </row>
    <row r="2703" spans="21:23">
      <c r="U2703" s="693">
        <f t="shared" si="42"/>
        <v>42491</v>
      </c>
      <c r="V2703" s="694">
        <v>42514</v>
      </c>
      <c r="W2703" s="696">
        <v>3058.25</v>
      </c>
    </row>
    <row r="2704" spans="21:23">
      <c r="U2704" s="693">
        <f t="shared" si="42"/>
        <v>42491</v>
      </c>
      <c r="V2704" s="694">
        <v>42515</v>
      </c>
      <c r="W2704" s="696">
        <v>3059.92</v>
      </c>
    </row>
    <row r="2705" spans="21:23">
      <c r="U2705" s="693">
        <f t="shared" si="42"/>
        <v>42491</v>
      </c>
      <c r="V2705" s="694">
        <v>42516</v>
      </c>
      <c r="W2705" s="696">
        <v>3061.89</v>
      </c>
    </row>
    <row r="2706" spans="21:23">
      <c r="U2706" s="693">
        <f t="shared" si="42"/>
        <v>42491</v>
      </c>
      <c r="V2706" s="694">
        <v>42517</v>
      </c>
      <c r="W2706" s="696">
        <v>3054.6</v>
      </c>
    </row>
    <row r="2707" spans="21:23">
      <c r="U2707" s="693">
        <f t="shared" si="42"/>
        <v>42491</v>
      </c>
      <c r="V2707" s="694">
        <v>42518</v>
      </c>
      <c r="W2707" s="696">
        <v>3069.17</v>
      </c>
    </row>
    <row r="2708" spans="21:23">
      <c r="U2708" s="693">
        <f t="shared" si="42"/>
        <v>42491</v>
      </c>
      <c r="V2708" s="694">
        <v>42519</v>
      </c>
      <c r="W2708" s="696">
        <v>3069.17</v>
      </c>
    </row>
    <row r="2709" spans="21:23">
      <c r="U2709" s="693">
        <f t="shared" si="42"/>
        <v>42491</v>
      </c>
      <c r="V2709" s="694">
        <v>42520</v>
      </c>
      <c r="W2709" s="696">
        <v>3069.17</v>
      </c>
    </row>
    <row r="2710" spans="21:23">
      <c r="U2710" s="693">
        <f t="shared" si="42"/>
        <v>42491</v>
      </c>
      <c r="V2710" s="694">
        <v>42521</v>
      </c>
      <c r="W2710" s="696">
        <v>3069.17</v>
      </c>
    </row>
    <row r="2711" spans="21:23">
      <c r="U2711" s="693">
        <f t="shared" si="42"/>
        <v>42522</v>
      </c>
      <c r="V2711" s="694">
        <v>42522</v>
      </c>
      <c r="W2711" s="696">
        <v>3089.65</v>
      </c>
    </row>
    <row r="2712" spans="21:23">
      <c r="U2712" s="693">
        <f t="shared" si="42"/>
        <v>42522</v>
      </c>
      <c r="V2712" s="694">
        <v>42523</v>
      </c>
      <c r="W2712" s="696">
        <v>3117.83</v>
      </c>
    </row>
    <row r="2713" spans="21:23">
      <c r="U2713" s="693">
        <f t="shared" si="42"/>
        <v>42522</v>
      </c>
      <c r="V2713" s="694">
        <v>42524</v>
      </c>
      <c r="W2713" s="696">
        <v>3110.88</v>
      </c>
    </row>
    <row r="2714" spans="21:23">
      <c r="U2714" s="693">
        <f t="shared" si="42"/>
        <v>42522</v>
      </c>
      <c r="V2714" s="694">
        <v>42525</v>
      </c>
      <c r="W2714" s="696">
        <v>3017.71</v>
      </c>
    </row>
    <row r="2715" spans="21:23">
      <c r="U2715" s="693">
        <f t="shared" si="42"/>
        <v>42522</v>
      </c>
      <c r="V2715" s="694">
        <v>42526</v>
      </c>
      <c r="W2715" s="696">
        <v>3017.71</v>
      </c>
    </row>
    <row r="2716" spans="21:23">
      <c r="U2716" s="693">
        <f t="shared" si="42"/>
        <v>42522</v>
      </c>
      <c r="V2716" s="694">
        <v>42527</v>
      </c>
      <c r="W2716" s="696">
        <v>3017.71</v>
      </c>
    </row>
    <row r="2717" spans="21:23">
      <c r="U2717" s="693">
        <f t="shared" si="42"/>
        <v>42522</v>
      </c>
      <c r="V2717" s="694">
        <v>42528</v>
      </c>
      <c r="W2717" s="696">
        <v>3017.71</v>
      </c>
    </row>
    <row r="2718" spans="21:23">
      <c r="U2718" s="693">
        <f t="shared" si="42"/>
        <v>42522</v>
      </c>
      <c r="V2718" s="694">
        <v>42529</v>
      </c>
      <c r="W2718" s="696">
        <v>2950.95</v>
      </c>
    </row>
    <row r="2719" spans="21:23">
      <c r="U2719" s="693">
        <f t="shared" si="42"/>
        <v>42522</v>
      </c>
      <c r="V2719" s="694">
        <v>42530</v>
      </c>
      <c r="W2719" s="696">
        <v>2905.23</v>
      </c>
    </row>
    <row r="2720" spans="21:23">
      <c r="U2720" s="693">
        <f t="shared" si="42"/>
        <v>42522</v>
      </c>
      <c r="V2720" s="694">
        <v>42531</v>
      </c>
      <c r="W2720" s="696">
        <v>2942.13</v>
      </c>
    </row>
    <row r="2721" spans="21:23">
      <c r="U2721" s="693">
        <f t="shared" si="42"/>
        <v>42522</v>
      </c>
      <c r="V2721" s="694">
        <v>42532</v>
      </c>
      <c r="W2721" s="696">
        <v>2969.83</v>
      </c>
    </row>
    <row r="2722" spans="21:23">
      <c r="U2722" s="693">
        <f t="shared" si="42"/>
        <v>42522</v>
      </c>
      <c r="V2722" s="694">
        <v>42533</v>
      </c>
      <c r="W2722" s="696">
        <v>2969.83</v>
      </c>
    </row>
    <row r="2723" spans="21:23">
      <c r="U2723" s="693">
        <f t="shared" si="42"/>
        <v>42522</v>
      </c>
      <c r="V2723" s="694">
        <v>42534</v>
      </c>
      <c r="W2723" s="696">
        <v>2969.83</v>
      </c>
    </row>
    <row r="2724" spans="21:23">
      <c r="U2724" s="693">
        <f t="shared" si="42"/>
        <v>42522</v>
      </c>
      <c r="V2724" s="694">
        <v>42535</v>
      </c>
      <c r="W2724" s="696">
        <v>2990.35</v>
      </c>
    </row>
    <row r="2725" spans="21:23">
      <c r="U2725" s="693">
        <f t="shared" si="42"/>
        <v>42522</v>
      </c>
      <c r="V2725" s="694">
        <v>42536</v>
      </c>
      <c r="W2725" s="696">
        <v>3003.28</v>
      </c>
    </row>
    <row r="2726" spans="21:23">
      <c r="U2726" s="693">
        <f t="shared" si="42"/>
        <v>42522</v>
      </c>
      <c r="V2726" s="694">
        <v>42537</v>
      </c>
      <c r="W2726" s="696">
        <v>2989.56</v>
      </c>
    </row>
    <row r="2727" spans="21:23">
      <c r="U2727" s="693">
        <f t="shared" si="42"/>
        <v>42522</v>
      </c>
      <c r="V2727" s="694">
        <v>42538</v>
      </c>
      <c r="W2727" s="696">
        <v>3019.12</v>
      </c>
    </row>
    <row r="2728" spans="21:23">
      <c r="U2728" s="693">
        <f t="shared" si="42"/>
        <v>42522</v>
      </c>
      <c r="V2728" s="694">
        <v>42539</v>
      </c>
      <c r="W2728" s="696">
        <v>3010.91</v>
      </c>
    </row>
    <row r="2729" spans="21:23">
      <c r="U2729" s="693">
        <f t="shared" si="42"/>
        <v>42522</v>
      </c>
      <c r="V2729" s="694">
        <v>42540</v>
      </c>
      <c r="W2729" s="696">
        <v>3010.91</v>
      </c>
    </row>
    <row r="2730" spans="21:23">
      <c r="U2730" s="693">
        <f t="shared" si="42"/>
        <v>42522</v>
      </c>
      <c r="V2730" s="694">
        <v>42541</v>
      </c>
      <c r="W2730" s="696">
        <v>3010.91</v>
      </c>
    </row>
    <row r="2731" spans="21:23">
      <c r="U2731" s="693">
        <f t="shared" si="42"/>
        <v>42522</v>
      </c>
      <c r="V2731" s="694">
        <v>42542</v>
      </c>
      <c r="W2731" s="696">
        <v>2972.97</v>
      </c>
    </row>
    <row r="2732" spans="21:23">
      <c r="U2732" s="693">
        <f t="shared" si="42"/>
        <v>42522</v>
      </c>
      <c r="V2732" s="694">
        <v>42543</v>
      </c>
      <c r="W2732" s="696">
        <v>2976.29</v>
      </c>
    </row>
    <row r="2733" spans="21:23">
      <c r="U2733" s="693">
        <f t="shared" si="42"/>
        <v>42522</v>
      </c>
      <c r="V2733" s="694">
        <v>42544</v>
      </c>
      <c r="W2733" s="696">
        <v>2944.06</v>
      </c>
    </row>
    <row r="2734" spans="21:23">
      <c r="U2734" s="693">
        <f t="shared" si="42"/>
        <v>42522</v>
      </c>
      <c r="V2734" s="694">
        <v>42545</v>
      </c>
      <c r="W2734" s="696">
        <v>2897.53</v>
      </c>
    </row>
    <row r="2735" spans="21:23">
      <c r="U2735" s="693">
        <f t="shared" si="42"/>
        <v>42522</v>
      </c>
      <c r="V2735" s="694">
        <v>42546</v>
      </c>
      <c r="W2735" s="696">
        <v>2972.92</v>
      </c>
    </row>
    <row r="2736" spans="21:23">
      <c r="U2736" s="693">
        <f t="shared" si="42"/>
        <v>42522</v>
      </c>
      <c r="V2736" s="694">
        <v>42547</v>
      </c>
      <c r="W2736" s="696">
        <v>2972.92</v>
      </c>
    </row>
    <row r="2737" spans="21:23">
      <c r="U2737" s="693">
        <f t="shared" si="42"/>
        <v>42522</v>
      </c>
      <c r="V2737" s="694">
        <v>42548</v>
      </c>
      <c r="W2737" s="696">
        <v>2972.92</v>
      </c>
    </row>
    <row r="2738" spans="21:23">
      <c r="U2738" s="693">
        <f t="shared" si="42"/>
        <v>42522</v>
      </c>
      <c r="V2738" s="694">
        <v>42549</v>
      </c>
      <c r="W2738" s="696">
        <v>3022.78</v>
      </c>
    </row>
    <row r="2739" spans="21:23">
      <c r="U2739" s="693">
        <f t="shared" si="42"/>
        <v>42522</v>
      </c>
      <c r="V2739" s="694">
        <v>42550</v>
      </c>
      <c r="W2739" s="696">
        <v>3005.18</v>
      </c>
    </row>
    <row r="2740" spans="21:23">
      <c r="U2740" s="693">
        <f t="shared" si="42"/>
        <v>42522</v>
      </c>
      <c r="V2740" s="694">
        <v>42551</v>
      </c>
      <c r="W2740" s="696">
        <v>2916.15</v>
      </c>
    </row>
    <row r="2741" spans="21:23">
      <c r="U2741" s="693">
        <f t="shared" si="42"/>
        <v>42552</v>
      </c>
      <c r="V2741" s="694">
        <v>42552</v>
      </c>
      <c r="W2741" s="696">
        <v>2919.01</v>
      </c>
    </row>
    <row r="2742" spans="21:23">
      <c r="U2742" s="693">
        <f t="shared" si="42"/>
        <v>42552</v>
      </c>
      <c r="V2742" s="694">
        <v>42553</v>
      </c>
      <c r="W2742" s="696">
        <v>2914.38</v>
      </c>
    </row>
    <row r="2743" spans="21:23">
      <c r="U2743" s="693">
        <f t="shared" si="42"/>
        <v>42552</v>
      </c>
      <c r="V2743" s="694">
        <v>42554</v>
      </c>
      <c r="W2743" s="696">
        <v>2914.38</v>
      </c>
    </row>
    <row r="2744" spans="21:23">
      <c r="U2744" s="693">
        <f t="shared" si="42"/>
        <v>42552</v>
      </c>
      <c r="V2744" s="694">
        <v>42555</v>
      </c>
      <c r="W2744" s="696">
        <v>2914.38</v>
      </c>
    </row>
    <row r="2745" spans="21:23">
      <c r="U2745" s="693">
        <f t="shared" si="42"/>
        <v>42552</v>
      </c>
      <c r="V2745" s="694">
        <v>42556</v>
      </c>
      <c r="W2745" s="696">
        <v>2914.38</v>
      </c>
    </row>
    <row r="2746" spans="21:23">
      <c r="U2746" s="693">
        <f t="shared" si="42"/>
        <v>42552</v>
      </c>
      <c r="V2746" s="694">
        <v>42557</v>
      </c>
      <c r="W2746" s="696">
        <v>2966.87</v>
      </c>
    </row>
    <row r="2747" spans="21:23">
      <c r="U2747" s="693">
        <f t="shared" si="42"/>
        <v>42552</v>
      </c>
      <c r="V2747" s="694">
        <v>42558</v>
      </c>
      <c r="W2747" s="696">
        <v>3003.2</v>
      </c>
    </row>
    <row r="2748" spans="21:23">
      <c r="U2748" s="693">
        <f t="shared" si="42"/>
        <v>42552</v>
      </c>
      <c r="V2748" s="694">
        <v>42559</v>
      </c>
      <c r="W2748" s="696">
        <v>2986.49</v>
      </c>
    </row>
    <row r="2749" spans="21:23">
      <c r="U2749" s="693">
        <f t="shared" si="42"/>
        <v>42552</v>
      </c>
      <c r="V2749" s="694">
        <v>42560</v>
      </c>
      <c r="W2749" s="696">
        <v>2952.64</v>
      </c>
    </row>
    <row r="2750" spans="21:23">
      <c r="U2750" s="693">
        <f t="shared" si="42"/>
        <v>42552</v>
      </c>
      <c r="V2750" s="694">
        <v>42561</v>
      </c>
      <c r="W2750" s="696">
        <v>2952.64</v>
      </c>
    </row>
    <row r="2751" spans="21:23">
      <c r="U2751" s="693">
        <f t="shared" si="42"/>
        <v>42552</v>
      </c>
      <c r="V2751" s="694">
        <v>42562</v>
      </c>
      <c r="W2751" s="696">
        <v>2952.64</v>
      </c>
    </row>
    <row r="2752" spans="21:23">
      <c r="U2752" s="693">
        <f t="shared" si="42"/>
        <v>42552</v>
      </c>
      <c r="V2752" s="694">
        <v>42563</v>
      </c>
      <c r="W2752" s="696">
        <v>2929.81</v>
      </c>
    </row>
    <row r="2753" spans="21:23">
      <c r="U2753" s="693">
        <f t="shared" si="42"/>
        <v>42552</v>
      </c>
      <c r="V2753" s="694">
        <v>42564</v>
      </c>
      <c r="W2753" s="696">
        <v>2911.91</v>
      </c>
    </row>
    <row r="2754" spans="21:23">
      <c r="U2754" s="693">
        <f t="shared" si="42"/>
        <v>42552</v>
      </c>
      <c r="V2754" s="694">
        <v>42565</v>
      </c>
      <c r="W2754" s="696">
        <v>2936.53</v>
      </c>
    </row>
    <row r="2755" spans="21:23">
      <c r="U2755" s="693">
        <f t="shared" ref="U2755:U2818" si="43">+DATE(YEAR(V2755),MONTH(V2755),1)</f>
        <v>42552</v>
      </c>
      <c r="V2755" s="694">
        <v>42566</v>
      </c>
      <c r="W2755" s="696">
        <v>2923.07</v>
      </c>
    </row>
    <row r="2756" spans="21:23">
      <c r="U2756" s="693">
        <f t="shared" si="43"/>
        <v>42552</v>
      </c>
      <c r="V2756" s="694">
        <v>42567</v>
      </c>
      <c r="W2756" s="696">
        <v>2923.46</v>
      </c>
    </row>
    <row r="2757" spans="21:23">
      <c r="U2757" s="693">
        <f t="shared" si="43"/>
        <v>42552</v>
      </c>
      <c r="V2757" s="694">
        <v>42568</v>
      </c>
      <c r="W2757" s="696">
        <v>2923.46</v>
      </c>
    </row>
    <row r="2758" spans="21:23">
      <c r="U2758" s="693">
        <f t="shared" si="43"/>
        <v>42552</v>
      </c>
      <c r="V2758" s="694">
        <v>42569</v>
      </c>
      <c r="W2758" s="696">
        <v>2923.46</v>
      </c>
    </row>
    <row r="2759" spans="21:23">
      <c r="U2759" s="693">
        <f t="shared" si="43"/>
        <v>42552</v>
      </c>
      <c r="V2759" s="694">
        <v>42570</v>
      </c>
      <c r="W2759" s="696">
        <v>2928.3</v>
      </c>
    </row>
    <row r="2760" spans="21:23">
      <c r="U2760" s="693">
        <f t="shared" si="43"/>
        <v>42552</v>
      </c>
      <c r="V2760" s="694">
        <v>42571</v>
      </c>
      <c r="W2760" s="696">
        <v>2931.08</v>
      </c>
    </row>
    <row r="2761" spans="21:23">
      <c r="U2761" s="693">
        <f t="shared" si="43"/>
        <v>42552</v>
      </c>
      <c r="V2761" s="694">
        <v>42572</v>
      </c>
      <c r="W2761" s="696">
        <v>2931.08</v>
      </c>
    </row>
    <row r="2762" spans="21:23">
      <c r="U2762" s="693">
        <f t="shared" si="43"/>
        <v>42552</v>
      </c>
      <c r="V2762" s="694">
        <v>42573</v>
      </c>
      <c r="W2762" s="696">
        <v>2928.67</v>
      </c>
    </row>
    <row r="2763" spans="21:23">
      <c r="U2763" s="693">
        <f t="shared" si="43"/>
        <v>42552</v>
      </c>
      <c r="V2763" s="694">
        <v>42574</v>
      </c>
      <c r="W2763" s="696">
        <v>2942.65</v>
      </c>
    </row>
    <row r="2764" spans="21:23">
      <c r="U2764" s="693">
        <f t="shared" si="43"/>
        <v>42552</v>
      </c>
      <c r="V2764" s="694">
        <v>42575</v>
      </c>
      <c r="W2764" s="696">
        <v>2942.65</v>
      </c>
    </row>
    <row r="2765" spans="21:23">
      <c r="U2765" s="693">
        <f t="shared" si="43"/>
        <v>42552</v>
      </c>
      <c r="V2765" s="694">
        <v>42576</v>
      </c>
      <c r="W2765" s="696">
        <v>2942.65</v>
      </c>
    </row>
    <row r="2766" spans="21:23">
      <c r="U2766" s="693">
        <f t="shared" si="43"/>
        <v>42552</v>
      </c>
      <c r="V2766" s="694">
        <v>42577</v>
      </c>
      <c r="W2766" s="696">
        <v>2997.25</v>
      </c>
    </row>
    <row r="2767" spans="21:23">
      <c r="U2767" s="693">
        <f t="shared" si="43"/>
        <v>42552</v>
      </c>
      <c r="V2767" s="694">
        <v>42578</v>
      </c>
      <c r="W2767" s="696">
        <v>3055.15</v>
      </c>
    </row>
    <row r="2768" spans="21:23">
      <c r="U2768" s="693">
        <f t="shared" si="43"/>
        <v>42552</v>
      </c>
      <c r="V2768" s="694">
        <v>42579</v>
      </c>
      <c r="W2768" s="696">
        <v>3073.52</v>
      </c>
    </row>
    <row r="2769" spans="21:23">
      <c r="U2769" s="693">
        <f t="shared" si="43"/>
        <v>42552</v>
      </c>
      <c r="V2769" s="694">
        <v>42580</v>
      </c>
      <c r="W2769" s="696">
        <v>3091.78</v>
      </c>
    </row>
    <row r="2770" spans="21:23">
      <c r="U2770" s="693">
        <f t="shared" si="43"/>
        <v>42552</v>
      </c>
      <c r="V2770" s="694">
        <v>42581</v>
      </c>
      <c r="W2770" s="696">
        <v>3081.75</v>
      </c>
    </row>
    <row r="2771" spans="21:23">
      <c r="U2771" s="693">
        <f t="shared" si="43"/>
        <v>42552</v>
      </c>
      <c r="V2771" s="694">
        <v>42582</v>
      </c>
      <c r="W2771" s="696">
        <v>3081.75</v>
      </c>
    </row>
    <row r="2772" spans="21:23">
      <c r="U2772" s="693">
        <f t="shared" si="43"/>
        <v>42583</v>
      </c>
      <c r="V2772" s="694">
        <v>42583</v>
      </c>
      <c r="W2772" s="696">
        <v>3081.75</v>
      </c>
    </row>
    <row r="2773" spans="21:23">
      <c r="U2773" s="693">
        <f t="shared" si="43"/>
        <v>42583</v>
      </c>
      <c r="V2773" s="694">
        <v>42584</v>
      </c>
      <c r="W2773" s="696">
        <v>3090.28</v>
      </c>
    </row>
    <row r="2774" spans="21:23">
      <c r="U2774" s="693">
        <f t="shared" si="43"/>
        <v>42583</v>
      </c>
      <c r="V2774" s="694">
        <v>42585</v>
      </c>
      <c r="W2774" s="696">
        <v>3084.81</v>
      </c>
    </row>
    <row r="2775" spans="21:23">
      <c r="U2775" s="693">
        <f t="shared" si="43"/>
        <v>42583</v>
      </c>
      <c r="V2775" s="694">
        <v>42586</v>
      </c>
      <c r="W2775" s="696">
        <v>3110.43</v>
      </c>
    </row>
    <row r="2776" spans="21:23">
      <c r="U2776" s="693">
        <f t="shared" si="43"/>
        <v>42583</v>
      </c>
      <c r="V2776" s="694">
        <v>42587</v>
      </c>
      <c r="W2776" s="696">
        <v>3079.83</v>
      </c>
    </row>
    <row r="2777" spans="21:23">
      <c r="U2777" s="693">
        <f t="shared" si="43"/>
        <v>42583</v>
      </c>
      <c r="V2777" s="694">
        <v>42588</v>
      </c>
      <c r="W2777" s="696">
        <v>3052.8</v>
      </c>
    </row>
    <row r="2778" spans="21:23">
      <c r="U2778" s="693">
        <f t="shared" si="43"/>
        <v>42583</v>
      </c>
      <c r="V2778" s="694">
        <v>42589</v>
      </c>
      <c r="W2778" s="696">
        <v>3052.8</v>
      </c>
    </row>
    <row r="2779" spans="21:23">
      <c r="U2779" s="693">
        <f t="shared" si="43"/>
        <v>42583</v>
      </c>
      <c r="V2779" s="694">
        <v>42590</v>
      </c>
      <c r="W2779" s="696">
        <v>3052.8</v>
      </c>
    </row>
    <row r="2780" spans="21:23">
      <c r="U2780" s="693">
        <f t="shared" si="43"/>
        <v>42583</v>
      </c>
      <c r="V2780" s="694">
        <v>42591</v>
      </c>
      <c r="W2780" s="696">
        <v>2992.5</v>
      </c>
    </row>
    <row r="2781" spans="21:23">
      <c r="U2781" s="693">
        <f t="shared" si="43"/>
        <v>42583</v>
      </c>
      <c r="V2781" s="694">
        <v>42592</v>
      </c>
      <c r="W2781" s="696">
        <v>2974.31</v>
      </c>
    </row>
    <row r="2782" spans="21:23">
      <c r="U2782" s="693">
        <f t="shared" si="43"/>
        <v>42583</v>
      </c>
      <c r="V2782" s="694">
        <v>42593</v>
      </c>
      <c r="W2782" s="696">
        <v>2954.9</v>
      </c>
    </row>
    <row r="2783" spans="21:23">
      <c r="U2783" s="693">
        <f t="shared" si="43"/>
        <v>42583</v>
      </c>
      <c r="V2783" s="694">
        <v>42594</v>
      </c>
      <c r="W2783" s="696">
        <v>2911.26</v>
      </c>
    </row>
    <row r="2784" spans="21:23">
      <c r="U2784" s="693">
        <f t="shared" si="43"/>
        <v>42583</v>
      </c>
      <c r="V2784" s="694">
        <v>42595</v>
      </c>
      <c r="W2784" s="696">
        <v>2908.67</v>
      </c>
    </row>
    <row r="2785" spans="21:23">
      <c r="U2785" s="693">
        <f t="shared" si="43"/>
        <v>42583</v>
      </c>
      <c r="V2785" s="694">
        <v>42596</v>
      </c>
      <c r="W2785" s="696">
        <v>2908.67</v>
      </c>
    </row>
    <row r="2786" spans="21:23">
      <c r="U2786" s="693">
        <f t="shared" si="43"/>
        <v>42583</v>
      </c>
      <c r="V2786" s="694">
        <v>42597</v>
      </c>
      <c r="W2786" s="696">
        <v>2908.67</v>
      </c>
    </row>
    <row r="2787" spans="21:23">
      <c r="U2787" s="693">
        <f t="shared" si="43"/>
        <v>42583</v>
      </c>
      <c r="V2787" s="694">
        <v>42598</v>
      </c>
      <c r="W2787" s="696">
        <v>2908.67</v>
      </c>
    </row>
    <row r="2788" spans="21:23">
      <c r="U2788" s="693">
        <f t="shared" si="43"/>
        <v>42583</v>
      </c>
      <c r="V2788" s="694">
        <v>42599</v>
      </c>
      <c r="W2788" s="696">
        <v>2905.3</v>
      </c>
    </row>
    <row r="2789" spans="21:23">
      <c r="U2789" s="693">
        <f t="shared" si="43"/>
        <v>42583</v>
      </c>
      <c r="V2789" s="694">
        <v>42600</v>
      </c>
      <c r="W2789" s="696">
        <v>2918.07</v>
      </c>
    </row>
    <row r="2790" spans="21:23">
      <c r="U2790" s="693">
        <f t="shared" si="43"/>
        <v>42583</v>
      </c>
      <c r="V2790" s="694">
        <v>42601</v>
      </c>
      <c r="W2790" s="696">
        <v>2884.02</v>
      </c>
    </row>
    <row r="2791" spans="21:23">
      <c r="U2791" s="693">
        <f t="shared" si="43"/>
        <v>42583</v>
      </c>
      <c r="V2791" s="694">
        <v>42602</v>
      </c>
      <c r="W2791" s="696">
        <v>2867.37</v>
      </c>
    </row>
    <row r="2792" spans="21:23">
      <c r="U2792" s="693">
        <f t="shared" si="43"/>
        <v>42583</v>
      </c>
      <c r="V2792" s="694">
        <v>42603</v>
      </c>
      <c r="W2792" s="696">
        <v>2867.37</v>
      </c>
    </row>
    <row r="2793" spans="21:23">
      <c r="U2793" s="693">
        <f t="shared" si="43"/>
        <v>42583</v>
      </c>
      <c r="V2793" s="694">
        <v>42604</v>
      </c>
      <c r="W2793" s="696">
        <v>2867.37</v>
      </c>
    </row>
    <row r="2794" spans="21:23">
      <c r="U2794" s="693">
        <f t="shared" si="43"/>
        <v>42583</v>
      </c>
      <c r="V2794" s="694">
        <v>42605</v>
      </c>
      <c r="W2794" s="696">
        <v>2883.89</v>
      </c>
    </row>
    <row r="2795" spans="21:23">
      <c r="U2795" s="693">
        <f t="shared" si="43"/>
        <v>42583</v>
      </c>
      <c r="V2795" s="694">
        <v>42606</v>
      </c>
      <c r="W2795" s="696">
        <v>2909.1</v>
      </c>
    </row>
    <row r="2796" spans="21:23">
      <c r="U2796" s="693">
        <f t="shared" si="43"/>
        <v>42583</v>
      </c>
      <c r="V2796" s="694">
        <v>42607</v>
      </c>
      <c r="W2796" s="696">
        <v>2938.28</v>
      </c>
    </row>
    <row r="2797" spans="21:23">
      <c r="U2797" s="693">
        <f t="shared" si="43"/>
        <v>42583</v>
      </c>
      <c r="V2797" s="694">
        <v>42608</v>
      </c>
      <c r="W2797" s="696">
        <v>2915.67</v>
      </c>
    </row>
    <row r="2798" spans="21:23">
      <c r="U2798" s="693">
        <f t="shared" si="43"/>
        <v>42583</v>
      </c>
      <c r="V2798" s="694">
        <v>42609</v>
      </c>
      <c r="W2798" s="696">
        <v>2882.69</v>
      </c>
    </row>
    <row r="2799" spans="21:23">
      <c r="U2799" s="693">
        <f t="shared" si="43"/>
        <v>42583</v>
      </c>
      <c r="V2799" s="694">
        <v>42610</v>
      </c>
      <c r="W2799" s="696">
        <v>2882.69</v>
      </c>
    </row>
    <row r="2800" spans="21:23">
      <c r="U2800" s="693">
        <f t="shared" si="43"/>
        <v>42583</v>
      </c>
      <c r="V2800" s="694">
        <v>42611</v>
      </c>
      <c r="W2800" s="696">
        <v>2882.69</v>
      </c>
    </row>
    <row r="2801" spans="21:23">
      <c r="U2801" s="693">
        <f t="shared" si="43"/>
        <v>42583</v>
      </c>
      <c r="V2801" s="694">
        <v>42612</v>
      </c>
      <c r="W2801" s="696">
        <v>2924.29</v>
      </c>
    </row>
    <row r="2802" spans="21:23">
      <c r="U2802" s="693">
        <f t="shared" si="43"/>
        <v>42583</v>
      </c>
      <c r="V2802" s="694">
        <v>42613</v>
      </c>
      <c r="W2802" s="696">
        <v>2933.82</v>
      </c>
    </row>
    <row r="2803" spans="21:23">
      <c r="U2803" s="693">
        <f t="shared" si="43"/>
        <v>42614</v>
      </c>
      <c r="V2803" s="694">
        <v>42614</v>
      </c>
      <c r="W2803" s="696">
        <v>2956.53</v>
      </c>
    </row>
    <row r="2804" spans="21:23">
      <c r="U2804" s="693">
        <f t="shared" si="43"/>
        <v>42614</v>
      </c>
      <c r="V2804" s="694">
        <v>42615</v>
      </c>
      <c r="W2804" s="696">
        <v>2986.36</v>
      </c>
    </row>
    <row r="2805" spans="21:23">
      <c r="U2805" s="693">
        <f t="shared" si="43"/>
        <v>42614</v>
      </c>
      <c r="V2805" s="694">
        <v>42616</v>
      </c>
      <c r="W2805" s="696">
        <v>2957.56</v>
      </c>
    </row>
    <row r="2806" spans="21:23">
      <c r="U2806" s="693">
        <f t="shared" si="43"/>
        <v>42614</v>
      </c>
      <c r="V2806" s="694">
        <v>42617</v>
      </c>
      <c r="W2806" s="696">
        <v>2957.56</v>
      </c>
    </row>
    <row r="2807" spans="21:23">
      <c r="U2807" s="693">
        <f t="shared" si="43"/>
        <v>42614</v>
      </c>
      <c r="V2807" s="694">
        <v>42618</v>
      </c>
      <c r="W2807" s="696">
        <v>2957.56</v>
      </c>
    </row>
    <row r="2808" spans="21:23">
      <c r="U2808" s="693">
        <f t="shared" si="43"/>
        <v>42614</v>
      </c>
      <c r="V2808" s="694">
        <v>42619</v>
      </c>
      <c r="W2808" s="696">
        <v>2957.56</v>
      </c>
    </row>
    <row r="2809" spans="21:23">
      <c r="U2809" s="693">
        <f t="shared" si="43"/>
        <v>42614</v>
      </c>
      <c r="V2809" s="694">
        <v>42620</v>
      </c>
      <c r="W2809" s="696">
        <v>2887.64</v>
      </c>
    </row>
    <row r="2810" spans="21:23">
      <c r="U2810" s="693">
        <f t="shared" si="43"/>
        <v>42614</v>
      </c>
      <c r="V2810" s="694">
        <v>42621</v>
      </c>
      <c r="W2810" s="696">
        <v>2840.38</v>
      </c>
    </row>
    <row r="2811" spans="21:23">
      <c r="U2811" s="693">
        <f t="shared" si="43"/>
        <v>42614</v>
      </c>
      <c r="V2811" s="694">
        <v>42622</v>
      </c>
      <c r="W2811" s="696">
        <v>2846.13</v>
      </c>
    </row>
    <row r="2812" spans="21:23">
      <c r="U2812" s="693">
        <f t="shared" si="43"/>
        <v>42614</v>
      </c>
      <c r="V2812" s="694">
        <v>42623</v>
      </c>
      <c r="W2812" s="696">
        <v>2899.29</v>
      </c>
    </row>
    <row r="2813" spans="21:23">
      <c r="U2813" s="693">
        <f t="shared" si="43"/>
        <v>42614</v>
      </c>
      <c r="V2813" s="694">
        <v>42624</v>
      </c>
      <c r="W2813" s="696">
        <v>2899.29</v>
      </c>
    </row>
    <row r="2814" spans="21:23">
      <c r="U2814" s="693">
        <f t="shared" si="43"/>
        <v>42614</v>
      </c>
      <c r="V2814" s="694">
        <v>42625</v>
      </c>
      <c r="W2814" s="696">
        <v>2899.29</v>
      </c>
    </row>
    <row r="2815" spans="21:23">
      <c r="U2815" s="693">
        <f t="shared" si="43"/>
        <v>42614</v>
      </c>
      <c r="V2815" s="694">
        <v>42626</v>
      </c>
      <c r="W2815" s="696">
        <v>2942.29</v>
      </c>
    </row>
    <row r="2816" spans="21:23">
      <c r="U2816" s="693">
        <f t="shared" si="43"/>
        <v>42614</v>
      </c>
      <c r="V2816" s="694">
        <v>42627</v>
      </c>
      <c r="W2816" s="696">
        <v>2976.19</v>
      </c>
    </row>
    <row r="2817" spans="21:23">
      <c r="U2817" s="693">
        <f t="shared" si="43"/>
        <v>42614</v>
      </c>
      <c r="V2817" s="694">
        <v>42628</v>
      </c>
      <c r="W2817" s="696">
        <v>2972.65</v>
      </c>
    </row>
    <row r="2818" spans="21:23">
      <c r="U2818" s="693">
        <f t="shared" si="43"/>
        <v>42614</v>
      </c>
      <c r="V2818" s="694">
        <v>42629</v>
      </c>
      <c r="W2818" s="696">
        <v>2938.5</v>
      </c>
    </row>
    <row r="2819" spans="21:23">
      <c r="U2819" s="693">
        <f t="shared" ref="U2819:U2882" si="44">+DATE(YEAR(V2819),MONTH(V2819),1)</f>
        <v>42614</v>
      </c>
      <c r="V2819" s="694">
        <v>42630</v>
      </c>
      <c r="W2819" s="696">
        <v>2956.58</v>
      </c>
    </row>
    <row r="2820" spans="21:23">
      <c r="U2820" s="693">
        <f t="shared" si="44"/>
        <v>42614</v>
      </c>
      <c r="V2820" s="694">
        <v>42631</v>
      </c>
      <c r="W2820" s="696">
        <v>2956.58</v>
      </c>
    </row>
    <row r="2821" spans="21:23">
      <c r="U2821" s="693">
        <f t="shared" si="44"/>
        <v>42614</v>
      </c>
      <c r="V2821" s="694">
        <v>42632</v>
      </c>
      <c r="W2821" s="696">
        <v>2956.58</v>
      </c>
    </row>
    <row r="2822" spans="21:23">
      <c r="U2822" s="693">
        <f t="shared" si="44"/>
        <v>42614</v>
      </c>
      <c r="V2822" s="694">
        <v>42633</v>
      </c>
      <c r="W2822" s="696">
        <v>2928.18</v>
      </c>
    </row>
    <row r="2823" spans="21:23">
      <c r="U2823" s="693">
        <f t="shared" si="44"/>
        <v>42614</v>
      </c>
      <c r="V2823" s="694">
        <v>42634</v>
      </c>
      <c r="W2823" s="696">
        <v>2911.11</v>
      </c>
    </row>
    <row r="2824" spans="21:23">
      <c r="U2824" s="693">
        <f t="shared" si="44"/>
        <v>42614</v>
      </c>
      <c r="V2824" s="694">
        <v>42635</v>
      </c>
      <c r="W2824" s="696">
        <v>2894.15</v>
      </c>
    </row>
    <row r="2825" spans="21:23">
      <c r="U2825" s="693">
        <f t="shared" si="44"/>
        <v>42614</v>
      </c>
      <c r="V2825" s="694">
        <v>42636</v>
      </c>
      <c r="W2825" s="696">
        <v>2862.52</v>
      </c>
    </row>
    <row r="2826" spans="21:23">
      <c r="U2826" s="693">
        <f t="shared" si="44"/>
        <v>42614</v>
      </c>
      <c r="V2826" s="694">
        <v>42637</v>
      </c>
      <c r="W2826" s="696">
        <v>2917.95</v>
      </c>
    </row>
    <row r="2827" spans="21:23">
      <c r="U2827" s="693">
        <f t="shared" si="44"/>
        <v>42614</v>
      </c>
      <c r="V2827" s="694">
        <v>42638</v>
      </c>
      <c r="W2827" s="696">
        <v>2917.95</v>
      </c>
    </row>
    <row r="2828" spans="21:23">
      <c r="U2828" s="693">
        <f t="shared" si="44"/>
        <v>42614</v>
      </c>
      <c r="V2828" s="694">
        <v>42639</v>
      </c>
      <c r="W2828" s="696">
        <v>2917.95</v>
      </c>
    </row>
    <row r="2829" spans="21:23">
      <c r="U2829" s="693">
        <f t="shared" si="44"/>
        <v>42614</v>
      </c>
      <c r="V2829" s="694">
        <v>42640</v>
      </c>
      <c r="W2829" s="696">
        <v>2917.58</v>
      </c>
    </row>
    <row r="2830" spans="21:23">
      <c r="U2830" s="693">
        <f t="shared" si="44"/>
        <v>42614</v>
      </c>
      <c r="V2830" s="694">
        <v>42641</v>
      </c>
      <c r="W2830" s="696">
        <v>2921.99</v>
      </c>
    </row>
    <row r="2831" spans="21:23">
      <c r="U2831" s="693">
        <f t="shared" si="44"/>
        <v>42614</v>
      </c>
      <c r="V2831" s="694">
        <v>42642</v>
      </c>
      <c r="W2831" s="696">
        <v>2914.11</v>
      </c>
    </row>
    <row r="2832" spans="21:23">
      <c r="U2832" s="693">
        <f t="shared" si="44"/>
        <v>42614</v>
      </c>
      <c r="V2832" s="694">
        <v>42643</v>
      </c>
      <c r="W2832" s="696">
        <v>2879.95</v>
      </c>
    </row>
    <row r="2833" spans="21:23">
      <c r="U2833" s="693">
        <f t="shared" si="44"/>
        <v>42644</v>
      </c>
      <c r="V2833" s="694">
        <v>42644</v>
      </c>
      <c r="W2833" s="696">
        <v>2880.08</v>
      </c>
    </row>
    <row r="2834" spans="21:23">
      <c r="U2834" s="693">
        <f t="shared" si="44"/>
        <v>42644</v>
      </c>
      <c r="V2834" s="694">
        <v>42645</v>
      </c>
      <c r="W2834" s="696">
        <v>2880.08</v>
      </c>
    </row>
    <row r="2835" spans="21:23">
      <c r="U2835" s="693">
        <f t="shared" si="44"/>
        <v>42644</v>
      </c>
      <c r="V2835" s="694">
        <v>42646</v>
      </c>
      <c r="W2835" s="696">
        <v>2880.08</v>
      </c>
    </row>
    <row r="2836" spans="21:23">
      <c r="U2836" s="693">
        <f t="shared" si="44"/>
        <v>42644</v>
      </c>
      <c r="V2836" s="694">
        <v>42647</v>
      </c>
      <c r="W2836" s="696">
        <v>2937.23</v>
      </c>
    </row>
    <row r="2837" spans="21:23">
      <c r="U2837" s="693">
        <f t="shared" si="44"/>
        <v>42644</v>
      </c>
      <c r="V2837" s="694">
        <v>42648</v>
      </c>
      <c r="W2837" s="696">
        <v>2963.06</v>
      </c>
    </row>
    <row r="2838" spans="21:23">
      <c r="U2838" s="693">
        <f t="shared" si="44"/>
        <v>42644</v>
      </c>
      <c r="V2838" s="694">
        <v>42649</v>
      </c>
      <c r="W2838" s="696">
        <v>2964.93</v>
      </c>
    </row>
    <row r="2839" spans="21:23">
      <c r="U2839" s="693">
        <f t="shared" si="44"/>
        <v>42644</v>
      </c>
      <c r="V2839" s="694">
        <v>42650</v>
      </c>
      <c r="W2839" s="696">
        <v>2924.8</v>
      </c>
    </row>
    <row r="2840" spans="21:23">
      <c r="U2840" s="693">
        <f t="shared" si="44"/>
        <v>42644</v>
      </c>
      <c r="V2840" s="694">
        <v>42651</v>
      </c>
      <c r="W2840" s="696">
        <v>2913.96</v>
      </c>
    </row>
    <row r="2841" spans="21:23">
      <c r="U2841" s="693">
        <f t="shared" si="44"/>
        <v>42644</v>
      </c>
      <c r="V2841" s="694">
        <v>42652</v>
      </c>
      <c r="W2841" s="696">
        <v>2913.96</v>
      </c>
    </row>
    <row r="2842" spans="21:23">
      <c r="U2842" s="693">
        <f t="shared" si="44"/>
        <v>42644</v>
      </c>
      <c r="V2842" s="694">
        <v>42653</v>
      </c>
      <c r="W2842" s="696">
        <v>2913.96</v>
      </c>
    </row>
    <row r="2843" spans="21:23">
      <c r="U2843" s="693">
        <f t="shared" si="44"/>
        <v>42644</v>
      </c>
      <c r="V2843" s="694">
        <v>42654</v>
      </c>
      <c r="W2843" s="696">
        <v>2913.96</v>
      </c>
    </row>
    <row r="2844" spans="21:23">
      <c r="U2844" s="693">
        <f t="shared" si="44"/>
        <v>42644</v>
      </c>
      <c r="V2844" s="694">
        <v>42655</v>
      </c>
      <c r="W2844" s="696">
        <v>2919.51</v>
      </c>
    </row>
    <row r="2845" spans="21:23">
      <c r="U2845" s="693">
        <f t="shared" si="44"/>
        <v>42644</v>
      </c>
      <c r="V2845" s="694">
        <v>42656</v>
      </c>
      <c r="W2845" s="696">
        <v>2919.18</v>
      </c>
    </row>
    <row r="2846" spans="21:23">
      <c r="U2846" s="693">
        <f t="shared" si="44"/>
        <v>42644</v>
      </c>
      <c r="V2846" s="694">
        <v>42657</v>
      </c>
      <c r="W2846" s="696">
        <v>2930.78</v>
      </c>
    </row>
    <row r="2847" spans="21:23">
      <c r="U2847" s="693">
        <f t="shared" si="44"/>
        <v>42644</v>
      </c>
      <c r="V2847" s="694">
        <v>42658</v>
      </c>
      <c r="W2847" s="696">
        <v>2915.67</v>
      </c>
    </row>
    <row r="2848" spans="21:23">
      <c r="U2848" s="693">
        <f t="shared" si="44"/>
        <v>42644</v>
      </c>
      <c r="V2848" s="694">
        <v>42659</v>
      </c>
      <c r="W2848" s="696">
        <v>2915.67</v>
      </c>
    </row>
    <row r="2849" spans="21:23">
      <c r="U2849" s="693">
        <f t="shared" si="44"/>
        <v>42644</v>
      </c>
      <c r="V2849" s="694">
        <v>42660</v>
      </c>
      <c r="W2849" s="696">
        <v>2915.67</v>
      </c>
    </row>
    <row r="2850" spans="21:23">
      <c r="U2850" s="693">
        <f t="shared" si="44"/>
        <v>42644</v>
      </c>
      <c r="V2850" s="694">
        <v>42661</v>
      </c>
      <c r="W2850" s="696">
        <v>2915.67</v>
      </c>
    </row>
    <row r="2851" spans="21:23">
      <c r="U2851" s="693">
        <f t="shared" si="44"/>
        <v>42644</v>
      </c>
      <c r="V2851" s="694">
        <v>42662</v>
      </c>
      <c r="W2851" s="696">
        <v>2905.93</v>
      </c>
    </row>
    <row r="2852" spans="21:23">
      <c r="U2852" s="693">
        <f t="shared" si="44"/>
        <v>42644</v>
      </c>
      <c r="V2852" s="694">
        <v>42663</v>
      </c>
      <c r="W2852" s="696">
        <v>2914.15</v>
      </c>
    </row>
    <row r="2853" spans="21:23">
      <c r="U2853" s="693">
        <f t="shared" si="44"/>
        <v>42644</v>
      </c>
      <c r="V2853" s="694">
        <v>42664</v>
      </c>
      <c r="W2853" s="696">
        <v>2934.03</v>
      </c>
    </row>
    <row r="2854" spans="21:23">
      <c r="U2854" s="693">
        <f t="shared" si="44"/>
        <v>42644</v>
      </c>
      <c r="V2854" s="694">
        <v>42665</v>
      </c>
      <c r="W2854" s="696">
        <v>2944.25</v>
      </c>
    </row>
    <row r="2855" spans="21:23">
      <c r="U2855" s="693">
        <f t="shared" si="44"/>
        <v>42644</v>
      </c>
      <c r="V2855" s="694">
        <v>42666</v>
      </c>
      <c r="W2855" s="696">
        <v>2944.25</v>
      </c>
    </row>
    <row r="2856" spans="21:23">
      <c r="U2856" s="693">
        <f t="shared" si="44"/>
        <v>42644</v>
      </c>
      <c r="V2856" s="694">
        <v>42667</v>
      </c>
      <c r="W2856" s="696">
        <v>2944.25</v>
      </c>
    </row>
    <row r="2857" spans="21:23">
      <c r="U2857" s="693">
        <f t="shared" si="44"/>
        <v>42644</v>
      </c>
      <c r="V2857" s="694">
        <v>42668</v>
      </c>
      <c r="W2857" s="696">
        <v>2929.83</v>
      </c>
    </row>
    <row r="2858" spans="21:23">
      <c r="U2858" s="693">
        <f t="shared" si="44"/>
        <v>42644</v>
      </c>
      <c r="V2858" s="694">
        <v>42669</v>
      </c>
      <c r="W2858" s="696">
        <v>2941.34</v>
      </c>
    </row>
    <row r="2859" spans="21:23">
      <c r="U2859" s="693">
        <f t="shared" si="44"/>
        <v>42644</v>
      </c>
      <c r="V2859" s="694">
        <v>42670</v>
      </c>
      <c r="W2859" s="696">
        <v>2965.18</v>
      </c>
    </row>
    <row r="2860" spans="21:23">
      <c r="U2860" s="693">
        <f t="shared" si="44"/>
        <v>42644</v>
      </c>
      <c r="V2860" s="694">
        <v>42671</v>
      </c>
      <c r="W2860" s="696">
        <v>2966.61</v>
      </c>
    </row>
    <row r="2861" spans="21:23">
      <c r="U2861" s="693">
        <f t="shared" si="44"/>
        <v>42644</v>
      </c>
      <c r="V2861" s="694">
        <v>42672</v>
      </c>
      <c r="W2861" s="696">
        <v>2967.66</v>
      </c>
    </row>
    <row r="2862" spans="21:23">
      <c r="U2862" s="693">
        <f t="shared" si="44"/>
        <v>42644</v>
      </c>
      <c r="V2862" s="694">
        <v>42673</v>
      </c>
      <c r="W2862" s="696">
        <v>2967.66</v>
      </c>
    </row>
    <row r="2863" spans="21:23">
      <c r="U2863" s="693">
        <f t="shared" si="44"/>
        <v>42644</v>
      </c>
      <c r="V2863" s="694">
        <v>42674</v>
      </c>
      <c r="W2863" s="696">
        <v>2967.66</v>
      </c>
    </row>
    <row r="2864" spans="21:23">
      <c r="U2864" s="693">
        <f t="shared" si="44"/>
        <v>42675</v>
      </c>
      <c r="V2864" s="694">
        <v>42675</v>
      </c>
      <c r="W2864" s="696">
        <v>2998.55</v>
      </c>
    </row>
    <row r="2865" spans="21:23">
      <c r="U2865" s="693">
        <f t="shared" si="44"/>
        <v>42675</v>
      </c>
      <c r="V2865" s="694">
        <v>42676</v>
      </c>
      <c r="W2865" s="696">
        <v>3026.68</v>
      </c>
    </row>
    <row r="2866" spans="21:23">
      <c r="U2866" s="693">
        <f t="shared" si="44"/>
        <v>42675</v>
      </c>
      <c r="V2866" s="694">
        <v>42677</v>
      </c>
      <c r="W2866" s="696">
        <v>3070.54</v>
      </c>
    </row>
    <row r="2867" spans="21:23">
      <c r="U2867" s="693">
        <f t="shared" si="44"/>
        <v>42675</v>
      </c>
      <c r="V2867" s="694">
        <v>42678</v>
      </c>
      <c r="W2867" s="696">
        <v>3071.12</v>
      </c>
    </row>
    <row r="2868" spans="21:23">
      <c r="U2868" s="693">
        <f t="shared" si="44"/>
        <v>42675</v>
      </c>
      <c r="V2868" s="694">
        <v>42679</v>
      </c>
      <c r="W2868" s="696">
        <v>3070.4</v>
      </c>
    </row>
    <row r="2869" spans="21:23">
      <c r="U2869" s="693">
        <f t="shared" si="44"/>
        <v>42675</v>
      </c>
      <c r="V2869" s="694">
        <v>42680</v>
      </c>
      <c r="W2869" s="696">
        <v>3070.4</v>
      </c>
    </row>
    <row r="2870" spans="21:23">
      <c r="U2870" s="693">
        <f t="shared" si="44"/>
        <v>42675</v>
      </c>
      <c r="V2870" s="694">
        <v>42681</v>
      </c>
      <c r="W2870" s="696">
        <v>3070.4</v>
      </c>
    </row>
    <row r="2871" spans="21:23">
      <c r="U2871" s="693">
        <f t="shared" si="44"/>
        <v>42675</v>
      </c>
      <c r="V2871" s="694">
        <v>42682</v>
      </c>
      <c r="W2871" s="696">
        <v>3070.4</v>
      </c>
    </row>
    <row r="2872" spans="21:23">
      <c r="U2872" s="693">
        <f t="shared" si="44"/>
        <v>42675</v>
      </c>
      <c r="V2872" s="694">
        <v>42683</v>
      </c>
      <c r="W2872" s="696">
        <v>2984.78</v>
      </c>
    </row>
    <row r="2873" spans="21:23">
      <c r="U2873" s="693">
        <f t="shared" si="44"/>
        <v>42675</v>
      </c>
      <c r="V2873" s="694">
        <v>42684</v>
      </c>
      <c r="W2873" s="696">
        <v>3012.12</v>
      </c>
    </row>
    <row r="2874" spans="21:23">
      <c r="U2874" s="693">
        <f t="shared" si="44"/>
        <v>42675</v>
      </c>
      <c r="V2874" s="694">
        <v>42685</v>
      </c>
      <c r="W2874" s="696">
        <v>3100.12</v>
      </c>
    </row>
    <row r="2875" spans="21:23">
      <c r="U2875" s="693">
        <f t="shared" si="44"/>
        <v>42675</v>
      </c>
      <c r="V2875" s="694">
        <v>42686</v>
      </c>
      <c r="W2875" s="696">
        <v>3100.12</v>
      </c>
    </row>
    <row r="2876" spans="21:23">
      <c r="U2876" s="693">
        <f t="shared" si="44"/>
        <v>42675</v>
      </c>
      <c r="V2876" s="694">
        <v>42687</v>
      </c>
      <c r="W2876" s="696">
        <v>3100.12</v>
      </c>
    </row>
    <row r="2877" spans="21:23">
      <c r="U2877" s="693">
        <f t="shared" si="44"/>
        <v>42675</v>
      </c>
      <c r="V2877" s="694">
        <v>42688</v>
      </c>
      <c r="W2877" s="696">
        <v>3100.12</v>
      </c>
    </row>
    <row r="2878" spans="21:23">
      <c r="U2878" s="693">
        <f t="shared" si="44"/>
        <v>42675</v>
      </c>
      <c r="V2878" s="694">
        <v>42689</v>
      </c>
      <c r="W2878" s="696">
        <v>3100.12</v>
      </c>
    </row>
    <row r="2879" spans="21:23">
      <c r="U2879" s="693">
        <f t="shared" si="44"/>
        <v>42675</v>
      </c>
      <c r="V2879" s="694">
        <v>42690</v>
      </c>
      <c r="W2879" s="696">
        <v>3124.91</v>
      </c>
    </row>
    <row r="2880" spans="21:23">
      <c r="U2880" s="693">
        <f t="shared" si="44"/>
        <v>42675</v>
      </c>
      <c r="V2880" s="694">
        <v>42691</v>
      </c>
      <c r="W2880" s="696">
        <v>3131.11</v>
      </c>
    </row>
    <row r="2881" spans="21:23">
      <c r="U2881" s="693">
        <f t="shared" si="44"/>
        <v>42675</v>
      </c>
      <c r="V2881" s="694">
        <v>42692</v>
      </c>
      <c r="W2881" s="696">
        <v>3135.65</v>
      </c>
    </row>
    <row r="2882" spans="21:23">
      <c r="U2882" s="693">
        <f t="shared" si="44"/>
        <v>42675</v>
      </c>
      <c r="V2882" s="694">
        <v>42693</v>
      </c>
      <c r="W2882" s="696">
        <v>3163.49</v>
      </c>
    </row>
    <row r="2883" spans="21:23">
      <c r="U2883" s="693">
        <f t="shared" ref="U2883:U2946" si="45">+DATE(YEAR(V2883),MONTH(V2883),1)</f>
        <v>42675</v>
      </c>
      <c r="V2883" s="694">
        <v>42694</v>
      </c>
      <c r="W2883" s="696">
        <v>3163.49</v>
      </c>
    </row>
    <row r="2884" spans="21:23">
      <c r="U2884" s="693">
        <f t="shared" si="45"/>
        <v>42675</v>
      </c>
      <c r="V2884" s="694">
        <v>42695</v>
      </c>
      <c r="W2884" s="696">
        <v>3163.49</v>
      </c>
    </row>
    <row r="2885" spans="21:23">
      <c r="U2885" s="693">
        <f t="shared" si="45"/>
        <v>42675</v>
      </c>
      <c r="V2885" s="694">
        <v>42696</v>
      </c>
      <c r="W2885" s="696">
        <v>3144.72</v>
      </c>
    </row>
    <row r="2886" spans="21:23">
      <c r="U2886" s="693">
        <f t="shared" si="45"/>
        <v>42675</v>
      </c>
      <c r="V2886" s="694">
        <v>42697</v>
      </c>
      <c r="W2886" s="696">
        <v>3139.76</v>
      </c>
    </row>
    <row r="2887" spans="21:23">
      <c r="U2887" s="693">
        <f t="shared" si="45"/>
        <v>42675</v>
      </c>
      <c r="V2887" s="694">
        <v>42698</v>
      </c>
      <c r="W2887" s="696">
        <v>3187.97</v>
      </c>
    </row>
    <row r="2888" spans="21:23">
      <c r="U2888" s="693">
        <f t="shared" si="45"/>
        <v>42675</v>
      </c>
      <c r="V2888" s="694">
        <v>42699</v>
      </c>
      <c r="W2888" s="696">
        <v>3187.97</v>
      </c>
    </row>
    <row r="2889" spans="21:23">
      <c r="U2889" s="693">
        <f t="shared" si="45"/>
        <v>42675</v>
      </c>
      <c r="V2889" s="694">
        <v>42700</v>
      </c>
      <c r="W2889" s="696">
        <v>3170.64</v>
      </c>
    </row>
    <row r="2890" spans="21:23">
      <c r="U2890" s="693">
        <f t="shared" si="45"/>
        <v>42675</v>
      </c>
      <c r="V2890" s="694">
        <v>42701</v>
      </c>
      <c r="W2890" s="696">
        <v>3170.64</v>
      </c>
    </row>
    <row r="2891" spans="21:23">
      <c r="U2891" s="693">
        <f t="shared" si="45"/>
        <v>42675</v>
      </c>
      <c r="V2891" s="694">
        <v>42702</v>
      </c>
      <c r="W2891" s="696">
        <v>3170.64</v>
      </c>
    </row>
    <row r="2892" spans="21:23">
      <c r="U2892" s="693">
        <f t="shared" si="45"/>
        <v>42675</v>
      </c>
      <c r="V2892" s="694">
        <v>42703</v>
      </c>
      <c r="W2892" s="696">
        <v>3142.2</v>
      </c>
    </row>
    <row r="2893" spans="21:23">
      <c r="U2893" s="693">
        <f t="shared" si="45"/>
        <v>42675</v>
      </c>
      <c r="V2893" s="694">
        <v>42704</v>
      </c>
      <c r="W2893" s="696">
        <v>3165.09</v>
      </c>
    </row>
    <row r="2894" spans="21:23">
      <c r="U2894" s="693">
        <f t="shared" si="45"/>
        <v>42705</v>
      </c>
      <c r="V2894" s="694">
        <v>42705</v>
      </c>
      <c r="W2894" s="696">
        <v>3085.6</v>
      </c>
    </row>
    <row r="2895" spans="21:23">
      <c r="U2895" s="693">
        <f t="shared" si="45"/>
        <v>42705</v>
      </c>
      <c r="V2895" s="694">
        <v>42706</v>
      </c>
      <c r="W2895" s="696">
        <v>3068.34</v>
      </c>
    </row>
    <row r="2896" spans="21:23">
      <c r="U2896" s="693">
        <f t="shared" si="45"/>
        <v>42705</v>
      </c>
      <c r="V2896" s="694">
        <v>42707</v>
      </c>
      <c r="W2896" s="696">
        <v>3061.04</v>
      </c>
    </row>
    <row r="2897" spans="21:23">
      <c r="U2897" s="693">
        <f t="shared" si="45"/>
        <v>42705</v>
      </c>
      <c r="V2897" s="694">
        <v>42708</v>
      </c>
      <c r="W2897" s="696">
        <v>3061.04</v>
      </c>
    </row>
    <row r="2898" spans="21:23">
      <c r="U2898" s="693">
        <f t="shared" si="45"/>
        <v>42705</v>
      </c>
      <c r="V2898" s="694">
        <v>42709</v>
      </c>
      <c r="W2898" s="696">
        <v>3061.04</v>
      </c>
    </row>
    <row r="2899" spans="21:23">
      <c r="U2899" s="693">
        <f t="shared" si="45"/>
        <v>42705</v>
      </c>
      <c r="V2899" s="694">
        <v>42710</v>
      </c>
      <c r="W2899" s="696">
        <v>3049.47</v>
      </c>
    </row>
    <row r="2900" spans="21:23">
      <c r="U2900" s="693">
        <f t="shared" si="45"/>
        <v>42705</v>
      </c>
      <c r="V2900" s="694">
        <v>42711</v>
      </c>
      <c r="W2900" s="696">
        <v>3015.47</v>
      </c>
    </row>
    <row r="2901" spans="21:23">
      <c r="U2901" s="693">
        <f t="shared" si="45"/>
        <v>42705</v>
      </c>
      <c r="V2901" s="694">
        <v>42712</v>
      </c>
      <c r="W2901" s="696">
        <v>2989.71</v>
      </c>
    </row>
    <row r="2902" spans="21:23">
      <c r="U2902" s="693">
        <f t="shared" si="45"/>
        <v>42705</v>
      </c>
      <c r="V2902" s="694">
        <v>42713</v>
      </c>
      <c r="W2902" s="696">
        <v>2989.71</v>
      </c>
    </row>
    <row r="2903" spans="21:23">
      <c r="U2903" s="693">
        <f t="shared" si="45"/>
        <v>42705</v>
      </c>
      <c r="V2903" s="694">
        <v>42714</v>
      </c>
      <c r="W2903" s="696">
        <v>3002.8</v>
      </c>
    </row>
    <row r="2904" spans="21:23">
      <c r="U2904" s="693">
        <f t="shared" si="45"/>
        <v>42705</v>
      </c>
      <c r="V2904" s="694">
        <v>42715</v>
      </c>
      <c r="W2904" s="696">
        <v>3002.8</v>
      </c>
    </row>
    <row r="2905" spans="21:23">
      <c r="U2905" s="693">
        <f t="shared" si="45"/>
        <v>42705</v>
      </c>
      <c r="V2905" s="694">
        <v>42716</v>
      </c>
      <c r="W2905" s="696">
        <v>3002.8</v>
      </c>
    </row>
    <row r="2906" spans="21:23">
      <c r="U2906" s="693">
        <f t="shared" si="45"/>
        <v>42705</v>
      </c>
      <c r="V2906" s="694">
        <v>42717</v>
      </c>
      <c r="W2906" s="696">
        <v>2984.02</v>
      </c>
    </row>
    <row r="2907" spans="21:23">
      <c r="U2907" s="693">
        <f t="shared" si="45"/>
        <v>42705</v>
      </c>
      <c r="V2907" s="694">
        <v>42718</v>
      </c>
      <c r="W2907" s="696">
        <v>2982.29</v>
      </c>
    </row>
    <row r="2908" spans="21:23">
      <c r="U2908" s="693">
        <f t="shared" si="45"/>
        <v>42705</v>
      </c>
      <c r="V2908" s="694">
        <v>42719</v>
      </c>
      <c r="W2908" s="696">
        <v>2964.56</v>
      </c>
    </row>
    <row r="2909" spans="21:23">
      <c r="U2909" s="693">
        <f t="shared" si="45"/>
        <v>42705</v>
      </c>
      <c r="V2909" s="694">
        <v>42720</v>
      </c>
      <c r="W2909" s="696">
        <v>3000.47</v>
      </c>
    </row>
    <row r="2910" spans="21:23">
      <c r="U2910" s="693">
        <f t="shared" si="45"/>
        <v>42705</v>
      </c>
      <c r="V2910" s="694">
        <v>42721</v>
      </c>
      <c r="W2910" s="696">
        <v>2997.2</v>
      </c>
    </row>
    <row r="2911" spans="21:23">
      <c r="U2911" s="693">
        <f t="shared" si="45"/>
        <v>42705</v>
      </c>
      <c r="V2911" s="694">
        <v>42722</v>
      </c>
      <c r="W2911" s="696">
        <v>2997.2</v>
      </c>
    </row>
    <row r="2912" spans="21:23">
      <c r="U2912" s="693">
        <f t="shared" si="45"/>
        <v>42705</v>
      </c>
      <c r="V2912" s="694">
        <v>42723</v>
      </c>
      <c r="W2912" s="696">
        <v>2997.2</v>
      </c>
    </row>
    <row r="2913" spans="21:23">
      <c r="U2913" s="693">
        <f t="shared" si="45"/>
        <v>42705</v>
      </c>
      <c r="V2913" s="694">
        <v>42724</v>
      </c>
      <c r="W2913" s="696">
        <v>3019.44</v>
      </c>
    </row>
    <row r="2914" spans="21:23">
      <c r="U2914" s="693">
        <f t="shared" si="45"/>
        <v>42705</v>
      </c>
      <c r="V2914" s="694">
        <v>42725</v>
      </c>
      <c r="W2914" s="696">
        <v>2988.06</v>
      </c>
    </row>
    <row r="2915" spans="21:23">
      <c r="U2915" s="693">
        <f t="shared" si="45"/>
        <v>42705</v>
      </c>
      <c r="V2915" s="694">
        <v>42726</v>
      </c>
      <c r="W2915" s="696">
        <v>2989.14</v>
      </c>
    </row>
    <row r="2916" spans="21:23">
      <c r="U2916" s="693">
        <f t="shared" si="45"/>
        <v>42705</v>
      </c>
      <c r="V2916" s="694">
        <v>42727</v>
      </c>
      <c r="W2916" s="696">
        <v>2996.03</v>
      </c>
    </row>
    <row r="2917" spans="21:23">
      <c r="U2917" s="693">
        <f t="shared" si="45"/>
        <v>42705</v>
      </c>
      <c r="V2917" s="694">
        <v>42728</v>
      </c>
      <c r="W2917" s="696">
        <v>2996.6</v>
      </c>
    </row>
    <row r="2918" spans="21:23">
      <c r="U2918" s="693">
        <f t="shared" si="45"/>
        <v>42705</v>
      </c>
      <c r="V2918" s="694">
        <v>42729</v>
      </c>
      <c r="W2918" s="696">
        <v>2996.6</v>
      </c>
    </row>
    <row r="2919" spans="21:23">
      <c r="U2919" s="693">
        <f t="shared" si="45"/>
        <v>42705</v>
      </c>
      <c r="V2919" s="694">
        <v>42730</v>
      </c>
      <c r="W2919" s="696">
        <v>2996.6</v>
      </c>
    </row>
    <row r="2920" spans="21:23">
      <c r="U2920" s="693">
        <f t="shared" si="45"/>
        <v>42705</v>
      </c>
      <c r="V2920" s="694">
        <v>42731</v>
      </c>
      <c r="W2920" s="696">
        <v>2996.6</v>
      </c>
    </row>
    <row r="2921" spans="21:23">
      <c r="U2921" s="693">
        <f t="shared" si="45"/>
        <v>42705</v>
      </c>
      <c r="V2921" s="694">
        <v>42732</v>
      </c>
      <c r="W2921" s="696">
        <v>2992.81</v>
      </c>
    </row>
    <row r="2922" spans="21:23">
      <c r="U2922" s="693">
        <f t="shared" si="45"/>
        <v>42705</v>
      </c>
      <c r="V2922" s="694">
        <v>42733</v>
      </c>
      <c r="W2922" s="696">
        <v>3019.72</v>
      </c>
    </row>
    <row r="2923" spans="21:23">
      <c r="U2923" s="693">
        <f t="shared" si="45"/>
        <v>42705</v>
      </c>
      <c r="V2923" s="694">
        <v>42734</v>
      </c>
      <c r="W2923" s="696">
        <v>3000.71</v>
      </c>
    </row>
    <row r="2924" spans="21:23">
      <c r="U2924" s="693">
        <f t="shared" si="45"/>
        <v>42705</v>
      </c>
      <c r="V2924" s="694">
        <v>42735</v>
      </c>
      <c r="W2924" s="696">
        <v>3000.71</v>
      </c>
    </row>
    <row r="2925" spans="21:23">
      <c r="U2925" s="693">
        <f t="shared" si="45"/>
        <v>42736</v>
      </c>
      <c r="V2925" s="694">
        <v>42736</v>
      </c>
      <c r="W2925" s="696">
        <v>3000.71</v>
      </c>
    </row>
    <row r="2926" spans="21:23">
      <c r="U2926" s="693">
        <f t="shared" si="45"/>
        <v>42736</v>
      </c>
      <c r="V2926" s="694">
        <v>42737</v>
      </c>
      <c r="W2926" s="696">
        <v>3000.71</v>
      </c>
    </row>
    <row r="2927" spans="21:23">
      <c r="U2927" s="693">
        <f t="shared" si="45"/>
        <v>42736</v>
      </c>
      <c r="V2927" s="694">
        <v>42738</v>
      </c>
      <c r="W2927" s="696">
        <v>3000.71</v>
      </c>
    </row>
    <row r="2928" spans="21:23">
      <c r="U2928" s="693">
        <f t="shared" si="45"/>
        <v>42736</v>
      </c>
      <c r="V2928" s="694">
        <v>42739</v>
      </c>
      <c r="W2928" s="696">
        <v>2981.06</v>
      </c>
    </row>
    <row r="2929" spans="21:23">
      <c r="U2929" s="693">
        <f t="shared" si="45"/>
        <v>42736</v>
      </c>
      <c r="V2929" s="694">
        <v>42740</v>
      </c>
      <c r="W2929" s="696">
        <v>2965.36</v>
      </c>
    </row>
    <row r="2930" spans="21:23">
      <c r="U2930" s="693">
        <f t="shared" si="45"/>
        <v>42736</v>
      </c>
      <c r="V2930" s="694">
        <v>42741</v>
      </c>
      <c r="W2930" s="696">
        <v>2941.08</v>
      </c>
    </row>
    <row r="2931" spans="21:23">
      <c r="U2931" s="693">
        <f t="shared" si="45"/>
        <v>42736</v>
      </c>
      <c r="V2931" s="694">
        <v>42742</v>
      </c>
      <c r="W2931" s="696">
        <v>2919.01</v>
      </c>
    </row>
    <row r="2932" spans="21:23">
      <c r="U2932" s="693">
        <f t="shared" si="45"/>
        <v>42736</v>
      </c>
      <c r="V2932" s="694">
        <v>42743</v>
      </c>
      <c r="W2932" s="696">
        <v>2919.01</v>
      </c>
    </row>
    <row r="2933" spans="21:23">
      <c r="U2933" s="693">
        <f t="shared" si="45"/>
        <v>42736</v>
      </c>
      <c r="V2933" s="694">
        <v>42744</v>
      </c>
      <c r="W2933" s="696">
        <v>2919.01</v>
      </c>
    </row>
    <row r="2934" spans="21:23">
      <c r="U2934" s="693">
        <f t="shared" si="45"/>
        <v>42736</v>
      </c>
      <c r="V2934" s="694">
        <v>42745</v>
      </c>
      <c r="W2934" s="696">
        <v>2919.01</v>
      </c>
    </row>
    <row r="2935" spans="21:23">
      <c r="U2935" s="693">
        <f t="shared" si="45"/>
        <v>42736</v>
      </c>
      <c r="V2935" s="694">
        <v>42746</v>
      </c>
      <c r="W2935" s="696">
        <v>2949.6</v>
      </c>
    </row>
    <row r="2936" spans="21:23">
      <c r="U2936" s="693">
        <f t="shared" si="45"/>
        <v>42736</v>
      </c>
      <c r="V2936" s="694">
        <v>42747</v>
      </c>
      <c r="W2936" s="696">
        <v>2980.8</v>
      </c>
    </row>
    <row r="2937" spans="21:23">
      <c r="U2937" s="693">
        <f t="shared" si="45"/>
        <v>42736</v>
      </c>
      <c r="V2937" s="694">
        <v>42748</v>
      </c>
      <c r="W2937" s="696">
        <v>2930.19</v>
      </c>
    </row>
    <row r="2938" spans="21:23">
      <c r="U2938" s="693">
        <f t="shared" si="45"/>
        <v>42736</v>
      </c>
      <c r="V2938" s="694">
        <v>42749</v>
      </c>
      <c r="W2938" s="696">
        <v>2935.96</v>
      </c>
    </row>
    <row r="2939" spans="21:23">
      <c r="U2939" s="693">
        <f t="shared" si="45"/>
        <v>42736</v>
      </c>
      <c r="V2939" s="694">
        <v>42750</v>
      </c>
      <c r="W2939" s="696">
        <v>2935.96</v>
      </c>
    </row>
    <row r="2940" spans="21:23">
      <c r="U2940" s="693">
        <f t="shared" si="45"/>
        <v>42736</v>
      </c>
      <c r="V2940" s="694">
        <v>42751</v>
      </c>
      <c r="W2940" s="696">
        <v>2935.96</v>
      </c>
    </row>
    <row r="2941" spans="21:23">
      <c r="U2941" s="693">
        <f t="shared" si="45"/>
        <v>42736</v>
      </c>
      <c r="V2941" s="694">
        <v>42752</v>
      </c>
      <c r="W2941" s="696">
        <v>2935.96</v>
      </c>
    </row>
    <row r="2942" spans="21:23">
      <c r="U2942" s="693">
        <f t="shared" si="45"/>
        <v>42736</v>
      </c>
      <c r="V2942" s="694">
        <v>42753</v>
      </c>
      <c r="W2942" s="696">
        <v>2924.77</v>
      </c>
    </row>
    <row r="2943" spans="21:23">
      <c r="U2943" s="693">
        <f t="shared" si="45"/>
        <v>42736</v>
      </c>
      <c r="V2943" s="694">
        <v>42754</v>
      </c>
      <c r="W2943" s="696">
        <v>2934.58</v>
      </c>
    </row>
    <row r="2944" spans="21:23">
      <c r="U2944" s="693">
        <f t="shared" si="45"/>
        <v>42736</v>
      </c>
      <c r="V2944" s="694">
        <v>42755</v>
      </c>
      <c r="W2944" s="696">
        <v>2938.24</v>
      </c>
    </row>
    <row r="2945" spans="21:23">
      <c r="U2945" s="693">
        <f t="shared" si="45"/>
        <v>42736</v>
      </c>
      <c r="V2945" s="694">
        <v>42756</v>
      </c>
      <c r="W2945" s="696">
        <v>2927.91</v>
      </c>
    </row>
    <row r="2946" spans="21:23">
      <c r="U2946" s="693">
        <f t="shared" si="45"/>
        <v>42736</v>
      </c>
      <c r="V2946" s="694">
        <v>42757</v>
      </c>
      <c r="W2946" s="696">
        <v>2927.91</v>
      </c>
    </row>
    <row r="2947" spans="21:23">
      <c r="U2947" s="693">
        <f t="shared" ref="U2947:U3010" si="46">+DATE(YEAR(V2947),MONTH(V2947),1)</f>
        <v>42736</v>
      </c>
      <c r="V2947" s="694">
        <v>42758</v>
      </c>
      <c r="W2947" s="696">
        <v>2927.91</v>
      </c>
    </row>
    <row r="2948" spans="21:23">
      <c r="U2948" s="693">
        <f t="shared" si="46"/>
        <v>42736</v>
      </c>
      <c r="V2948" s="694">
        <v>42759</v>
      </c>
      <c r="W2948" s="696">
        <v>2908.53</v>
      </c>
    </row>
    <row r="2949" spans="21:23">
      <c r="U2949" s="693">
        <f t="shared" si="46"/>
        <v>42736</v>
      </c>
      <c r="V2949" s="694">
        <v>42760</v>
      </c>
      <c r="W2949" s="696">
        <v>2932.01</v>
      </c>
    </row>
    <row r="2950" spans="21:23">
      <c r="U2950" s="693">
        <f t="shared" si="46"/>
        <v>42736</v>
      </c>
      <c r="V2950" s="694">
        <v>42761</v>
      </c>
      <c r="W2950" s="696">
        <v>2927.53</v>
      </c>
    </row>
    <row r="2951" spans="21:23">
      <c r="U2951" s="693">
        <f t="shared" si="46"/>
        <v>42736</v>
      </c>
      <c r="V2951" s="694">
        <v>42762</v>
      </c>
      <c r="W2951" s="696">
        <v>2936.72</v>
      </c>
    </row>
    <row r="2952" spans="21:23">
      <c r="U2952" s="693">
        <f t="shared" si="46"/>
        <v>42736</v>
      </c>
      <c r="V2952" s="694">
        <v>42763</v>
      </c>
      <c r="W2952" s="696">
        <v>2930.17</v>
      </c>
    </row>
    <row r="2953" spans="21:23">
      <c r="U2953" s="693">
        <f t="shared" si="46"/>
        <v>42736</v>
      </c>
      <c r="V2953" s="694">
        <v>42764</v>
      </c>
      <c r="W2953" s="696">
        <v>2930.17</v>
      </c>
    </row>
    <row r="2954" spans="21:23">
      <c r="U2954" s="693">
        <f t="shared" si="46"/>
        <v>42736</v>
      </c>
      <c r="V2954" s="694">
        <v>42765</v>
      </c>
      <c r="W2954" s="696">
        <v>2930.17</v>
      </c>
    </row>
    <row r="2955" spans="21:23">
      <c r="U2955" s="693">
        <f t="shared" si="46"/>
        <v>42736</v>
      </c>
      <c r="V2955" s="694">
        <v>42766</v>
      </c>
      <c r="W2955" s="696">
        <v>2936.66</v>
      </c>
    </row>
    <row r="2956" spans="21:23">
      <c r="U2956" s="693">
        <f t="shared" si="46"/>
        <v>42767</v>
      </c>
      <c r="V2956" s="694">
        <v>42767</v>
      </c>
      <c r="W2956" s="696">
        <v>2921.9</v>
      </c>
    </row>
    <row r="2957" spans="21:23">
      <c r="U2957" s="693">
        <f t="shared" si="46"/>
        <v>42767</v>
      </c>
      <c r="V2957" s="694">
        <v>42768</v>
      </c>
      <c r="W2957" s="696">
        <v>2906.78</v>
      </c>
    </row>
    <row r="2958" spans="21:23">
      <c r="U2958" s="693">
        <f t="shared" si="46"/>
        <v>42767</v>
      </c>
      <c r="V2958" s="694">
        <v>42769</v>
      </c>
      <c r="W2958" s="696">
        <v>2882.2</v>
      </c>
    </row>
    <row r="2959" spans="21:23">
      <c r="U2959" s="693">
        <f t="shared" si="46"/>
        <v>42767</v>
      </c>
      <c r="V2959" s="694">
        <v>42770</v>
      </c>
      <c r="W2959" s="696">
        <v>2855.8</v>
      </c>
    </row>
    <row r="2960" spans="21:23">
      <c r="U2960" s="693">
        <f t="shared" si="46"/>
        <v>42767</v>
      </c>
      <c r="V2960" s="694">
        <v>42771</v>
      </c>
      <c r="W2960" s="696">
        <v>2855.8</v>
      </c>
    </row>
    <row r="2961" spans="21:23">
      <c r="U2961" s="693">
        <f t="shared" si="46"/>
        <v>42767</v>
      </c>
      <c r="V2961" s="694">
        <v>42772</v>
      </c>
      <c r="W2961" s="696">
        <v>2855.8</v>
      </c>
    </row>
    <row r="2962" spans="21:23">
      <c r="U2962" s="693">
        <f t="shared" si="46"/>
        <v>42767</v>
      </c>
      <c r="V2962" s="694">
        <v>42773</v>
      </c>
      <c r="W2962" s="696">
        <v>2853.99</v>
      </c>
    </row>
    <row r="2963" spans="21:23">
      <c r="U2963" s="693">
        <f t="shared" si="46"/>
        <v>42767</v>
      </c>
      <c r="V2963" s="694">
        <v>42774</v>
      </c>
      <c r="W2963" s="696">
        <v>2867.76</v>
      </c>
    </row>
    <row r="2964" spans="21:23">
      <c r="U2964" s="693">
        <f t="shared" si="46"/>
        <v>42767</v>
      </c>
      <c r="V2964" s="694">
        <v>42775</v>
      </c>
      <c r="W2964" s="696">
        <v>2879.49</v>
      </c>
    </row>
    <row r="2965" spans="21:23">
      <c r="U2965" s="693">
        <f t="shared" si="46"/>
        <v>42767</v>
      </c>
      <c r="V2965" s="694">
        <v>42776</v>
      </c>
      <c r="W2965" s="696">
        <v>2862.63</v>
      </c>
    </row>
    <row r="2966" spans="21:23">
      <c r="U2966" s="693">
        <f t="shared" si="46"/>
        <v>42767</v>
      </c>
      <c r="V2966" s="694">
        <v>42777</v>
      </c>
      <c r="W2966" s="696">
        <v>2851.98</v>
      </c>
    </row>
    <row r="2967" spans="21:23">
      <c r="U2967" s="693">
        <f t="shared" si="46"/>
        <v>42767</v>
      </c>
      <c r="V2967" s="694">
        <v>42778</v>
      </c>
      <c r="W2967" s="696">
        <v>2851.98</v>
      </c>
    </row>
    <row r="2968" spans="21:23">
      <c r="U2968" s="693">
        <f t="shared" si="46"/>
        <v>42767</v>
      </c>
      <c r="V2968" s="694">
        <v>42779</v>
      </c>
      <c r="W2968" s="696">
        <v>2851.98</v>
      </c>
    </row>
    <row r="2969" spans="21:23">
      <c r="U2969" s="693">
        <f t="shared" si="46"/>
        <v>42767</v>
      </c>
      <c r="V2969" s="694">
        <v>42780</v>
      </c>
      <c r="W2969" s="696">
        <v>2875.46</v>
      </c>
    </row>
    <row r="2970" spans="21:23">
      <c r="U2970" s="693">
        <f t="shared" si="46"/>
        <v>42767</v>
      </c>
      <c r="V2970" s="694">
        <v>42781</v>
      </c>
      <c r="W2970" s="696">
        <v>2867.64</v>
      </c>
    </row>
    <row r="2971" spans="21:23">
      <c r="U2971" s="693">
        <f t="shared" si="46"/>
        <v>42767</v>
      </c>
      <c r="V2971" s="694">
        <v>42782</v>
      </c>
      <c r="W2971" s="696">
        <v>2876.03</v>
      </c>
    </row>
    <row r="2972" spans="21:23">
      <c r="U2972" s="693">
        <f t="shared" si="46"/>
        <v>42767</v>
      </c>
      <c r="V2972" s="694">
        <v>42783</v>
      </c>
      <c r="W2972" s="696">
        <v>2875.68</v>
      </c>
    </row>
    <row r="2973" spans="21:23">
      <c r="U2973" s="693">
        <f t="shared" si="46"/>
        <v>42767</v>
      </c>
      <c r="V2973" s="694">
        <v>42784</v>
      </c>
      <c r="W2973" s="696">
        <v>2902.81</v>
      </c>
    </row>
    <row r="2974" spans="21:23">
      <c r="U2974" s="693">
        <f t="shared" si="46"/>
        <v>42767</v>
      </c>
      <c r="V2974" s="694">
        <v>42785</v>
      </c>
      <c r="W2974" s="696">
        <v>2902.81</v>
      </c>
    </row>
    <row r="2975" spans="21:23">
      <c r="U2975" s="693">
        <f t="shared" si="46"/>
        <v>42767</v>
      </c>
      <c r="V2975" s="694">
        <v>42786</v>
      </c>
      <c r="W2975" s="696">
        <v>2902.81</v>
      </c>
    </row>
    <row r="2976" spans="21:23">
      <c r="U2976" s="693">
        <f t="shared" si="46"/>
        <v>42767</v>
      </c>
      <c r="V2976" s="694">
        <v>42787</v>
      </c>
      <c r="W2976" s="696">
        <v>2902.81</v>
      </c>
    </row>
    <row r="2977" spans="21:23">
      <c r="U2977" s="693">
        <f t="shared" si="46"/>
        <v>42767</v>
      </c>
      <c r="V2977" s="694">
        <v>42788</v>
      </c>
      <c r="W2977" s="696">
        <v>2902.68</v>
      </c>
    </row>
    <row r="2978" spans="21:23">
      <c r="U2978" s="693">
        <f t="shared" si="46"/>
        <v>42767</v>
      </c>
      <c r="V2978" s="694">
        <v>42789</v>
      </c>
      <c r="W2978" s="696">
        <v>2893.55</v>
      </c>
    </row>
    <row r="2979" spans="21:23">
      <c r="U2979" s="693">
        <f t="shared" si="46"/>
        <v>42767</v>
      </c>
      <c r="V2979" s="694">
        <v>42790</v>
      </c>
      <c r="W2979" s="696">
        <v>2871.67</v>
      </c>
    </row>
    <row r="2980" spans="21:23">
      <c r="U2980" s="693">
        <f t="shared" si="46"/>
        <v>42767</v>
      </c>
      <c r="V2980" s="694">
        <v>42791</v>
      </c>
      <c r="W2980" s="696">
        <v>2886.52</v>
      </c>
    </row>
    <row r="2981" spans="21:23">
      <c r="U2981" s="693">
        <f t="shared" si="46"/>
        <v>42767</v>
      </c>
      <c r="V2981" s="694">
        <v>42792</v>
      </c>
      <c r="W2981" s="696">
        <v>2886.52</v>
      </c>
    </row>
    <row r="2982" spans="21:23">
      <c r="U2982" s="693">
        <f t="shared" si="46"/>
        <v>42767</v>
      </c>
      <c r="V2982" s="694">
        <v>42793</v>
      </c>
      <c r="W2982" s="696">
        <v>2886.52</v>
      </c>
    </row>
    <row r="2983" spans="21:23">
      <c r="U2983" s="693">
        <f t="shared" si="46"/>
        <v>42767</v>
      </c>
      <c r="V2983" s="694">
        <v>42794</v>
      </c>
      <c r="W2983" s="696">
        <v>2896.27</v>
      </c>
    </row>
    <row r="2984" spans="21:23">
      <c r="U2984" s="693">
        <f t="shared" si="46"/>
        <v>42795</v>
      </c>
      <c r="V2984" s="694">
        <v>42795</v>
      </c>
      <c r="W2984" s="696">
        <v>2919.17</v>
      </c>
    </row>
    <row r="2985" spans="21:23">
      <c r="U2985" s="693">
        <f t="shared" si="46"/>
        <v>42795</v>
      </c>
      <c r="V2985" s="694">
        <v>42796</v>
      </c>
      <c r="W2985" s="696">
        <v>2935.75</v>
      </c>
    </row>
    <row r="2986" spans="21:23">
      <c r="U2986" s="693">
        <f t="shared" si="46"/>
        <v>42795</v>
      </c>
      <c r="V2986" s="694">
        <v>42797</v>
      </c>
      <c r="W2986" s="696">
        <v>2960.91</v>
      </c>
    </row>
    <row r="2987" spans="21:23">
      <c r="U2987" s="693">
        <f t="shared" si="46"/>
        <v>42795</v>
      </c>
      <c r="V2987" s="694">
        <v>42798</v>
      </c>
      <c r="W2987" s="696">
        <v>2977.43</v>
      </c>
    </row>
    <row r="2988" spans="21:23">
      <c r="U2988" s="693">
        <f t="shared" si="46"/>
        <v>42795</v>
      </c>
      <c r="V2988" s="694">
        <v>42799</v>
      </c>
      <c r="W2988" s="696">
        <v>2977.43</v>
      </c>
    </row>
    <row r="2989" spans="21:23">
      <c r="U2989" s="693">
        <f t="shared" si="46"/>
        <v>42795</v>
      </c>
      <c r="V2989" s="694">
        <v>42800</v>
      </c>
      <c r="W2989" s="696">
        <v>2977.43</v>
      </c>
    </row>
    <row r="2990" spans="21:23">
      <c r="U2990" s="693">
        <f t="shared" si="46"/>
        <v>42795</v>
      </c>
      <c r="V2990" s="694">
        <v>42801</v>
      </c>
      <c r="W2990" s="696">
        <v>2966.67</v>
      </c>
    </row>
    <row r="2991" spans="21:23">
      <c r="U2991" s="693">
        <f t="shared" si="46"/>
        <v>42795</v>
      </c>
      <c r="V2991" s="694">
        <v>42802</v>
      </c>
      <c r="W2991" s="696">
        <v>2972.44</v>
      </c>
    </row>
    <row r="2992" spans="21:23">
      <c r="U2992" s="693">
        <f t="shared" si="46"/>
        <v>42795</v>
      </c>
      <c r="V2992" s="694">
        <v>42803</v>
      </c>
      <c r="W2992" s="696">
        <v>2987.88</v>
      </c>
    </row>
    <row r="2993" spans="21:23">
      <c r="U2993" s="693">
        <f t="shared" si="46"/>
        <v>42795</v>
      </c>
      <c r="V2993" s="694">
        <v>42804</v>
      </c>
      <c r="W2993" s="696">
        <v>3004.43</v>
      </c>
    </row>
    <row r="2994" spans="21:23">
      <c r="U2994" s="693">
        <f t="shared" si="46"/>
        <v>42795</v>
      </c>
      <c r="V2994" s="694">
        <v>42805</v>
      </c>
      <c r="W2994" s="696">
        <v>2980.83</v>
      </c>
    </row>
    <row r="2995" spans="21:23">
      <c r="U2995" s="693">
        <f t="shared" si="46"/>
        <v>42795</v>
      </c>
      <c r="V2995" s="694">
        <v>42806</v>
      </c>
      <c r="W2995" s="696">
        <v>2980.83</v>
      </c>
    </row>
    <row r="2996" spans="21:23">
      <c r="U2996" s="693">
        <f t="shared" si="46"/>
        <v>42795</v>
      </c>
      <c r="V2996" s="694">
        <v>42807</v>
      </c>
      <c r="W2996" s="696">
        <v>2980.83</v>
      </c>
    </row>
    <row r="2997" spans="21:23">
      <c r="U2997" s="693">
        <f t="shared" si="46"/>
        <v>42795</v>
      </c>
      <c r="V2997" s="694">
        <v>42808</v>
      </c>
      <c r="W2997" s="696">
        <v>2987.93</v>
      </c>
    </row>
    <row r="2998" spans="21:23">
      <c r="U2998" s="693">
        <f t="shared" si="46"/>
        <v>42795</v>
      </c>
      <c r="V2998" s="694">
        <v>42809</v>
      </c>
      <c r="W2998" s="696">
        <v>2997.73</v>
      </c>
    </row>
    <row r="2999" spans="21:23">
      <c r="U2999" s="693">
        <f t="shared" si="46"/>
        <v>42795</v>
      </c>
      <c r="V2999" s="694">
        <v>42810</v>
      </c>
      <c r="W2999" s="696">
        <v>2972.61</v>
      </c>
    </row>
    <row r="3000" spans="21:23">
      <c r="U3000" s="693">
        <f t="shared" si="46"/>
        <v>42795</v>
      </c>
      <c r="V3000" s="694">
        <v>42811</v>
      </c>
      <c r="W3000" s="696">
        <v>2923.96</v>
      </c>
    </row>
    <row r="3001" spans="21:23">
      <c r="U3001" s="693">
        <f t="shared" si="46"/>
        <v>42795</v>
      </c>
      <c r="V3001" s="694">
        <v>42812</v>
      </c>
      <c r="W3001" s="696">
        <v>2912.53</v>
      </c>
    </row>
    <row r="3002" spans="21:23">
      <c r="U3002" s="693">
        <f t="shared" si="46"/>
        <v>42795</v>
      </c>
      <c r="V3002" s="694">
        <v>42813</v>
      </c>
      <c r="W3002" s="696">
        <v>2912.53</v>
      </c>
    </row>
    <row r="3003" spans="21:23">
      <c r="U3003" s="693">
        <f t="shared" si="46"/>
        <v>42795</v>
      </c>
      <c r="V3003" s="694">
        <v>42814</v>
      </c>
      <c r="W3003" s="696">
        <v>2912.53</v>
      </c>
    </row>
    <row r="3004" spans="21:23">
      <c r="U3004" s="693">
        <f t="shared" si="46"/>
        <v>42795</v>
      </c>
      <c r="V3004" s="694">
        <v>42815</v>
      </c>
      <c r="W3004" s="696">
        <v>2912.53</v>
      </c>
    </row>
    <row r="3005" spans="21:23">
      <c r="U3005" s="693">
        <f t="shared" si="46"/>
        <v>42795</v>
      </c>
      <c r="V3005" s="694">
        <v>42816</v>
      </c>
      <c r="W3005" s="696">
        <v>2904.87</v>
      </c>
    </row>
    <row r="3006" spans="21:23">
      <c r="U3006" s="693">
        <f t="shared" si="46"/>
        <v>42795</v>
      </c>
      <c r="V3006" s="694">
        <v>42817</v>
      </c>
      <c r="W3006" s="696">
        <v>2936.82</v>
      </c>
    </row>
    <row r="3007" spans="21:23">
      <c r="U3007" s="693">
        <f t="shared" si="46"/>
        <v>42795</v>
      </c>
      <c r="V3007" s="694">
        <v>42818</v>
      </c>
      <c r="W3007" s="696">
        <v>2921.25</v>
      </c>
    </row>
    <row r="3008" spans="21:23">
      <c r="U3008" s="693">
        <f t="shared" si="46"/>
        <v>42795</v>
      </c>
      <c r="V3008" s="694">
        <v>42819</v>
      </c>
      <c r="W3008" s="696">
        <v>2899.94</v>
      </c>
    </row>
    <row r="3009" spans="21:23">
      <c r="U3009" s="693">
        <f t="shared" si="46"/>
        <v>42795</v>
      </c>
      <c r="V3009" s="694">
        <v>42820</v>
      </c>
      <c r="W3009" s="696">
        <v>2899.94</v>
      </c>
    </row>
    <row r="3010" spans="21:23">
      <c r="U3010" s="693">
        <f t="shared" si="46"/>
        <v>42795</v>
      </c>
      <c r="V3010" s="694">
        <v>42821</v>
      </c>
      <c r="W3010" s="696">
        <v>2899.94</v>
      </c>
    </row>
    <row r="3011" spans="21:23">
      <c r="U3011" s="693">
        <f t="shared" ref="U3011:U3074" si="47">+DATE(YEAR(V3011),MONTH(V3011),1)</f>
        <v>42795</v>
      </c>
      <c r="V3011" s="694">
        <v>42822</v>
      </c>
      <c r="W3011" s="696">
        <v>2913.48</v>
      </c>
    </row>
    <row r="3012" spans="21:23">
      <c r="U3012" s="693">
        <f t="shared" si="47"/>
        <v>42795</v>
      </c>
      <c r="V3012" s="694">
        <v>42823</v>
      </c>
      <c r="W3012" s="696">
        <v>2911.99</v>
      </c>
    </row>
    <row r="3013" spans="21:23">
      <c r="U3013" s="693">
        <f t="shared" si="47"/>
        <v>42795</v>
      </c>
      <c r="V3013" s="694">
        <v>42824</v>
      </c>
      <c r="W3013" s="696">
        <v>2888.02</v>
      </c>
    </row>
    <row r="3014" spans="21:23">
      <c r="U3014" s="693">
        <f t="shared" si="47"/>
        <v>42795</v>
      </c>
      <c r="V3014" s="694">
        <v>42825</v>
      </c>
      <c r="W3014" s="696">
        <v>2880.24</v>
      </c>
    </row>
    <row r="3015" spans="21:23">
      <c r="U3015" s="693">
        <f t="shared" si="47"/>
        <v>42826</v>
      </c>
      <c r="V3015" s="694">
        <v>42826</v>
      </c>
      <c r="W3015" s="696">
        <v>2885.57</v>
      </c>
    </row>
    <row r="3016" spans="21:23">
      <c r="U3016" s="693">
        <f t="shared" si="47"/>
        <v>42826</v>
      </c>
      <c r="V3016" s="694">
        <v>42827</v>
      </c>
      <c r="W3016" s="696">
        <v>2885.57</v>
      </c>
    </row>
    <row r="3017" spans="21:23">
      <c r="U3017" s="693">
        <f t="shared" si="47"/>
        <v>42826</v>
      </c>
      <c r="V3017" s="694">
        <v>42828</v>
      </c>
      <c r="W3017" s="696">
        <v>2885.57</v>
      </c>
    </row>
    <row r="3018" spans="21:23">
      <c r="U3018" s="693">
        <f t="shared" si="47"/>
        <v>42826</v>
      </c>
      <c r="V3018" s="694">
        <v>42829</v>
      </c>
      <c r="W3018" s="696">
        <v>2866.87</v>
      </c>
    </row>
    <row r="3019" spans="21:23">
      <c r="U3019" s="693">
        <f t="shared" si="47"/>
        <v>42826</v>
      </c>
      <c r="V3019" s="694">
        <v>42830</v>
      </c>
      <c r="W3019" s="696">
        <v>2869.32</v>
      </c>
    </row>
    <row r="3020" spans="21:23">
      <c r="U3020" s="693">
        <f t="shared" si="47"/>
        <v>42826</v>
      </c>
      <c r="V3020" s="694">
        <v>42831</v>
      </c>
      <c r="W3020" s="696">
        <v>2857.65</v>
      </c>
    </row>
    <row r="3021" spans="21:23">
      <c r="U3021" s="693">
        <f t="shared" si="47"/>
        <v>42826</v>
      </c>
      <c r="V3021" s="694">
        <v>42832</v>
      </c>
      <c r="W3021" s="696">
        <v>2853.1</v>
      </c>
    </row>
    <row r="3022" spans="21:23">
      <c r="U3022" s="693">
        <f t="shared" si="47"/>
        <v>42826</v>
      </c>
      <c r="V3022" s="694">
        <v>42833</v>
      </c>
      <c r="W3022" s="696">
        <v>2858</v>
      </c>
    </row>
    <row r="3023" spans="21:23">
      <c r="U3023" s="693">
        <f t="shared" si="47"/>
        <v>42826</v>
      </c>
      <c r="V3023" s="694">
        <v>42834</v>
      </c>
      <c r="W3023" s="696">
        <v>2858</v>
      </c>
    </row>
    <row r="3024" spans="21:23">
      <c r="U3024" s="693">
        <f t="shared" si="47"/>
        <v>42826</v>
      </c>
      <c r="V3024" s="694">
        <v>42835</v>
      </c>
      <c r="W3024" s="696">
        <v>2858</v>
      </c>
    </row>
    <row r="3025" spans="21:23">
      <c r="U3025" s="693">
        <f t="shared" si="47"/>
        <v>42826</v>
      </c>
      <c r="V3025" s="694">
        <v>42836</v>
      </c>
      <c r="W3025" s="696">
        <v>2867.13</v>
      </c>
    </row>
    <row r="3026" spans="21:23">
      <c r="U3026" s="693">
        <f t="shared" si="47"/>
        <v>42826</v>
      </c>
      <c r="V3026" s="694">
        <v>42837</v>
      </c>
      <c r="W3026" s="696">
        <v>2868.6</v>
      </c>
    </row>
    <row r="3027" spans="21:23">
      <c r="U3027" s="693">
        <f t="shared" si="47"/>
        <v>42826</v>
      </c>
      <c r="V3027" s="694">
        <v>42838</v>
      </c>
      <c r="W3027" s="696">
        <v>2872.55</v>
      </c>
    </row>
    <row r="3028" spans="21:23">
      <c r="U3028" s="693">
        <f t="shared" si="47"/>
        <v>42826</v>
      </c>
      <c r="V3028" s="694">
        <v>42839</v>
      </c>
      <c r="W3028" s="696">
        <v>2872.55</v>
      </c>
    </row>
    <row r="3029" spans="21:23">
      <c r="U3029" s="693">
        <f t="shared" si="47"/>
        <v>42826</v>
      </c>
      <c r="V3029" s="694">
        <v>42840</v>
      </c>
      <c r="W3029" s="696">
        <v>2872.55</v>
      </c>
    </row>
    <row r="3030" spans="21:23">
      <c r="U3030" s="693">
        <f t="shared" si="47"/>
        <v>42826</v>
      </c>
      <c r="V3030" s="694">
        <v>42841</v>
      </c>
      <c r="W3030" s="696">
        <v>2872.55</v>
      </c>
    </row>
    <row r="3031" spans="21:23">
      <c r="U3031" s="693">
        <f t="shared" si="47"/>
        <v>42826</v>
      </c>
      <c r="V3031" s="694">
        <v>42842</v>
      </c>
      <c r="W3031" s="696">
        <v>2872.55</v>
      </c>
    </row>
    <row r="3032" spans="21:23">
      <c r="U3032" s="693">
        <f t="shared" si="47"/>
        <v>42826</v>
      </c>
      <c r="V3032" s="694">
        <v>42843</v>
      </c>
      <c r="W3032" s="696">
        <v>2854.89</v>
      </c>
    </row>
    <row r="3033" spans="21:23">
      <c r="U3033" s="693">
        <f t="shared" si="47"/>
        <v>42826</v>
      </c>
      <c r="V3033" s="694">
        <v>42844</v>
      </c>
      <c r="W3033" s="696">
        <v>2837.9</v>
      </c>
    </row>
    <row r="3034" spans="21:23">
      <c r="U3034" s="693">
        <f t="shared" si="47"/>
        <v>42826</v>
      </c>
      <c r="V3034" s="694">
        <v>42845</v>
      </c>
      <c r="W3034" s="696">
        <v>2856.48</v>
      </c>
    </row>
    <row r="3035" spans="21:23">
      <c r="U3035" s="693">
        <f t="shared" si="47"/>
        <v>42826</v>
      </c>
      <c r="V3035" s="694">
        <v>42846</v>
      </c>
      <c r="W3035" s="696">
        <v>2863.39</v>
      </c>
    </row>
    <row r="3036" spans="21:23">
      <c r="U3036" s="693">
        <f t="shared" si="47"/>
        <v>42826</v>
      </c>
      <c r="V3036" s="694">
        <v>42847</v>
      </c>
      <c r="W3036" s="696">
        <v>2868.89</v>
      </c>
    </row>
    <row r="3037" spans="21:23">
      <c r="U3037" s="693">
        <f t="shared" si="47"/>
        <v>42826</v>
      </c>
      <c r="V3037" s="694">
        <v>42848</v>
      </c>
      <c r="W3037" s="696">
        <v>2868.89</v>
      </c>
    </row>
    <row r="3038" spans="21:23">
      <c r="U3038" s="693">
        <f t="shared" si="47"/>
        <v>42826</v>
      </c>
      <c r="V3038" s="694">
        <v>42849</v>
      </c>
      <c r="W3038" s="696">
        <v>2868.89</v>
      </c>
    </row>
    <row r="3039" spans="21:23">
      <c r="U3039" s="693">
        <f t="shared" si="47"/>
        <v>42826</v>
      </c>
      <c r="V3039" s="694">
        <v>42850</v>
      </c>
      <c r="W3039" s="696">
        <v>2871.98</v>
      </c>
    </row>
    <row r="3040" spans="21:23">
      <c r="U3040" s="693">
        <f t="shared" si="47"/>
        <v>42826</v>
      </c>
      <c r="V3040" s="694">
        <v>42851</v>
      </c>
      <c r="W3040" s="696">
        <v>2899.13</v>
      </c>
    </row>
    <row r="3041" spans="21:23">
      <c r="U3041" s="693">
        <f t="shared" si="47"/>
        <v>42826</v>
      </c>
      <c r="V3041" s="694">
        <v>42852</v>
      </c>
      <c r="W3041" s="696">
        <v>2928.07</v>
      </c>
    </row>
    <row r="3042" spans="21:23">
      <c r="U3042" s="693">
        <f t="shared" si="47"/>
        <v>42826</v>
      </c>
      <c r="V3042" s="694">
        <v>42853</v>
      </c>
      <c r="W3042" s="696">
        <v>2944.31</v>
      </c>
    </row>
    <row r="3043" spans="21:23">
      <c r="U3043" s="693">
        <f t="shared" si="47"/>
        <v>42826</v>
      </c>
      <c r="V3043" s="694">
        <v>42854</v>
      </c>
      <c r="W3043" s="696">
        <v>2947.85</v>
      </c>
    </row>
    <row r="3044" spans="21:23">
      <c r="U3044" s="693">
        <f t="shared" si="47"/>
        <v>42826</v>
      </c>
      <c r="V3044" s="694">
        <v>42855</v>
      </c>
      <c r="W3044" s="696">
        <v>2947.85</v>
      </c>
    </row>
    <row r="3045" spans="21:23">
      <c r="U3045" s="693">
        <f t="shared" si="47"/>
        <v>42856</v>
      </c>
      <c r="V3045" s="694">
        <v>42856</v>
      </c>
      <c r="W3045" s="696">
        <v>2947.85</v>
      </c>
    </row>
    <row r="3046" spans="21:23">
      <c r="U3046" s="693">
        <f t="shared" si="47"/>
        <v>42856</v>
      </c>
      <c r="V3046" s="694">
        <v>42857</v>
      </c>
      <c r="W3046" s="696">
        <v>2947.85</v>
      </c>
    </row>
    <row r="3047" spans="21:23">
      <c r="U3047" s="693">
        <f t="shared" si="47"/>
        <v>42856</v>
      </c>
      <c r="V3047" s="694">
        <v>42858</v>
      </c>
      <c r="W3047" s="696">
        <v>2945.53</v>
      </c>
    </row>
    <row r="3048" spans="21:23">
      <c r="U3048" s="693">
        <f t="shared" si="47"/>
        <v>42856</v>
      </c>
      <c r="V3048" s="694">
        <v>42859</v>
      </c>
      <c r="W3048" s="696">
        <v>2930.17</v>
      </c>
    </row>
    <row r="3049" spans="21:23">
      <c r="U3049" s="693">
        <f t="shared" si="47"/>
        <v>42856</v>
      </c>
      <c r="V3049" s="694">
        <v>42860</v>
      </c>
      <c r="W3049" s="696">
        <v>2967.44</v>
      </c>
    </row>
    <row r="3050" spans="21:23">
      <c r="U3050" s="693">
        <f t="shared" si="47"/>
        <v>42856</v>
      </c>
      <c r="V3050" s="694">
        <v>42861</v>
      </c>
      <c r="W3050" s="696">
        <v>2961.78</v>
      </c>
    </row>
    <row r="3051" spans="21:23">
      <c r="U3051" s="693">
        <f t="shared" si="47"/>
        <v>42856</v>
      </c>
      <c r="V3051" s="694">
        <v>42862</v>
      </c>
      <c r="W3051" s="696">
        <v>2961.78</v>
      </c>
    </row>
    <row r="3052" spans="21:23">
      <c r="U3052" s="693">
        <f t="shared" si="47"/>
        <v>42856</v>
      </c>
      <c r="V3052" s="694">
        <v>42863</v>
      </c>
      <c r="W3052" s="696">
        <v>2961.78</v>
      </c>
    </row>
    <row r="3053" spans="21:23">
      <c r="U3053" s="693">
        <f t="shared" si="47"/>
        <v>42856</v>
      </c>
      <c r="V3053" s="694">
        <v>42864</v>
      </c>
      <c r="W3053" s="696">
        <v>2959.26</v>
      </c>
    </row>
    <row r="3054" spans="21:23">
      <c r="U3054" s="693">
        <f t="shared" si="47"/>
        <v>42856</v>
      </c>
      <c r="V3054" s="694">
        <v>42865</v>
      </c>
      <c r="W3054" s="696">
        <v>2967.24</v>
      </c>
    </row>
    <row r="3055" spans="21:23">
      <c r="U3055" s="693">
        <f t="shared" si="47"/>
        <v>42856</v>
      </c>
      <c r="V3055" s="694">
        <v>42866</v>
      </c>
      <c r="W3055" s="696">
        <v>2949.35</v>
      </c>
    </row>
    <row r="3056" spans="21:23">
      <c r="U3056" s="693">
        <f t="shared" si="47"/>
        <v>42856</v>
      </c>
      <c r="V3056" s="694">
        <v>42867</v>
      </c>
      <c r="W3056" s="696">
        <v>2933.92</v>
      </c>
    </row>
    <row r="3057" spans="21:23">
      <c r="U3057" s="693">
        <f t="shared" si="47"/>
        <v>42856</v>
      </c>
      <c r="V3057" s="694">
        <v>42868</v>
      </c>
      <c r="W3057" s="696">
        <v>2918.69</v>
      </c>
    </row>
    <row r="3058" spans="21:23">
      <c r="U3058" s="693">
        <f t="shared" si="47"/>
        <v>42856</v>
      </c>
      <c r="V3058" s="694">
        <v>42869</v>
      </c>
      <c r="W3058" s="696">
        <v>2918.69</v>
      </c>
    </row>
    <row r="3059" spans="21:23">
      <c r="U3059" s="693">
        <f t="shared" si="47"/>
        <v>42856</v>
      </c>
      <c r="V3059" s="694">
        <v>42870</v>
      </c>
      <c r="W3059" s="696">
        <v>2918.69</v>
      </c>
    </row>
    <row r="3060" spans="21:23">
      <c r="U3060" s="693">
        <f t="shared" si="47"/>
        <v>42856</v>
      </c>
      <c r="V3060" s="694">
        <v>42871</v>
      </c>
      <c r="W3060" s="696">
        <v>2883.87</v>
      </c>
    </row>
    <row r="3061" spans="21:23">
      <c r="U3061" s="693">
        <f t="shared" si="47"/>
        <v>42856</v>
      </c>
      <c r="V3061" s="694">
        <v>42872</v>
      </c>
      <c r="W3061" s="696">
        <v>2873.22</v>
      </c>
    </row>
    <row r="3062" spans="21:23">
      <c r="U3062" s="693">
        <f t="shared" si="47"/>
        <v>42856</v>
      </c>
      <c r="V3062" s="694">
        <v>42873</v>
      </c>
      <c r="W3062" s="696">
        <v>2893.4</v>
      </c>
    </row>
    <row r="3063" spans="21:23">
      <c r="U3063" s="693">
        <f t="shared" si="47"/>
        <v>42856</v>
      </c>
      <c r="V3063" s="694">
        <v>42874</v>
      </c>
      <c r="W3063" s="696">
        <v>2932.16</v>
      </c>
    </row>
    <row r="3064" spans="21:23">
      <c r="U3064" s="693">
        <f t="shared" si="47"/>
        <v>42856</v>
      </c>
      <c r="V3064" s="694">
        <v>42875</v>
      </c>
      <c r="W3064" s="696">
        <v>2889.45</v>
      </c>
    </row>
    <row r="3065" spans="21:23">
      <c r="U3065" s="693">
        <f t="shared" si="47"/>
        <v>42856</v>
      </c>
      <c r="V3065" s="694">
        <v>42876</v>
      </c>
      <c r="W3065" s="696">
        <v>2889.45</v>
      </c>
    </row>
    <row r="3066" spans="21:23">
      <c r="U3066" s="693">
        <f t="shared" si="47"/>
        <v>42856</v>
      </c>
      <c r="V3066" s="694">
        <v>42877</v>
      </c>
      <c r="W3066" s="696">
        <v>2889.45</v>
      </c>
    </row>
    <row r="3067" spans="21:23">
      <c r="U3067" s="693">
        <f t="shared" si="47"/>
        <v>42856</v>
      </c>
      <c r="V3067" s="694">
        <v>42878</v>
      </c>
      <c r="W3067" s="696">
        <v>2895.12</v>
      </c>
    </row>
    <row r="3068" spans="21:23">
      <c r="U3068" s="693">
        <f t="shared" si="47"/>
        <v>42856</v>
      </c>
      <c r="V3068" s="694">
        <v>42879</v>
      </c>
      <c r="W3068" s="696">
        <v>2904.61</v>
      </c>
    </row>
    <row r="3069" spans="21:23">
      <c r="U3069" s="693">
        <f t="shared" si="47"/>
        <v>42856</v>
      </c>
      <c r="V3069" s="694">
        <v>42880</v>
      </c>
      <c r="W3069" s="696">
        <v>2905.29</v>
      </c>
    </row>
    <row r="3070" spans="21:23">
      <c r="U3070" s="693">
        <f t="shared" si="47"/>
        <v>42856</v>
      </c>
      <c r="V3070" s="694">
        <v>42881</v>
      </c>
      <c r="W3070" s="696">
        <v>2911.66</v>
      </c>
    </row>
    <row r="3071" spans="21:23">
      <c r="U3071" s="693">
        <f t="shared" si="47"/>
        <v>42856</v>
      </c>
      <c r="V3071" s="694">
        <v>42882</v>
      </c>
      <c r="W3071" s="696">
        <v>2913.47</v>
      </c>
    </row>
    <row r="3072" spans="21:23">
      <c r="U3072" s="693">
        <f t="shared" si="47"/>
        <v>42856</v>
      </c>
      <c r="V3072" s="694">
        <v>42883</v>
      </c>
      <c r="W3072" s="696">
        <v>2913.47</v>
      </c>
    </row>
    <row r="3073" spans="21:23">
      <c r="U3073" s="693">
        <f t="shared" si="47"/>
        <v>42856</v>
      </c>
      <c r="V3073" s="694">
        <v>42884</v>
      </c>
      <c r="W3073" s="696">
        <v>2913.47</v>
      </c>
    </row>
    <row r="3074" spans="21:23">
      <c r="U3074" s="693">
        <f t="shared" si="47"/>
        <v>42856</v>
      </c>
      <c r="V3074" s="694">
        <v>42885</v>
      </c>
      <c r="W3074" s="696">
        <v>2913.47</v>
      </c>
    </row>
    <row r="3075" spans="21:23">
      <c r="U3075" s="693">
        <f t="shared" ref="U3075:U3138" si="48">+DATE(YEAR(V3075),MONTH(V3075),1)</f>
        <v>42856</v>
      </c>
      <c r="V3075" s="694">
        <v>42886</v>
      </c>
      <c r="W3075" s="696">
        <v>2920.42</v>
      </c>
    </row>
    <row r="3076" spans="21:23">
      <c r="U3076" s="693">
        <f t="shared" si="48"/>
        <v>42887</v>
      </c>
      <c r="V3076" s="694">
        <v>42887</v>
      </c>
      <c r="W3076" s="696">
        <v>2921</v>
      </c>
    </row>
    <row r="3077" spans="21:23">
      <c r="U3077" s="693">
        <f t="shared" si="48"/>
        <v>42887</v>
      </c>
      <c r="V3077" s="694">
        <v>42888</v>
      </c>
      <c r="W3077" s="696">
        <v>2895.73</v>
      </c>
    </row>
    <row r="3078" spans="21:23">
      <c r="U3078" s="693">
        <f t="shared" si="48"/>
        <v>42887</v>
      </c>
      <c r="V3078" s="694">
        <v>42889</v>
      </c>
      <c r="W3078" s="696">
        <v>2894.72</v>
      </c>
    </row>
    <row r="3079" spans="21:23">
      <c r="U3079" s="693">
        <f t="shared" si="48"/>
        <v>42887</v>
      </c>
      <c r="V3079" s="694">
        <v>42890</v>
      </c>
      <c r="W3079" s="696">
        <v>2894.72</v>
      </c>
    </row>
    <row r="3080" spans="21:23">
      <c r="U3080" s="693">
        <f t="shared" si="48"/>
        <v>42887</v>
      </c>
      <c r="V3080" s="694">
        <v>42891</v>
      </c>
      <c r="W3080" s="696">
        <v>2894.72</v>
      </c>
    </row>
    <row r="3081" spans="21:23">
      <c r="U3081" s="693">
        <f t="shared" si="48"/>
        <v>42887</v>
      </c>
      <c r="V3081" s="694">
        <v>42892</v>
      </c>
      <c r="W3081" s="696">
        <v>2895.85</v>
      </c>
    </row>
    <row r="3082" spans="21:23">
      <c r="U3082" s="693">
        <f t="shared" si="48"/>
        <v>42887</v>
      </c>
      <c r="V3082" s="694">
        <v>42893</v>
      </c>
      <c r="W3082" s="696">
        <v>2893.76</v>
      </c>
    </row>
    <row r="3083" spans="21:23">
      <c r="U3083" s="693">
        <f t="shared" si="48"/>
        <v>42887</v>
      </c>
      <c r="V3083" s="694">
        <v>42894</v>
      </c>
      <c r="W3083" s="696">
        <v>2907.1</v>
      </c>
    </row>
    <row r="3084" spans="21:23">
      <c r="U3084" s="693">
        <f t="shared" si="48"/>
        <v>42887</v>
      </c>
      <c r="V3084" s="694">
        <v>42895</v>
      </c>
      <c r="W3084" s="696">
        <v>2919.82</v>
      </c>
    </row>
    <row r="3085" spans="21:23">
      <c r="U3085" s="693">
        <f t="shared" si="48"/>
        <v>42887</v>
      </c>
      <c r="V3085" s="694">
        <v>42896</v>
      </c>
      <c r="W3085" s="696">
        <v>2919.58</v>
      </c>
    </row>
    <row r="3086" spans="21:23">
      <c r="U3086" s="693">
        <f t="shared" si="48"/>
        <v>42887</v>
      </c>
      <c r="V3086" s="694">
        <v>42897</v>
      </c>
      <c r="W3086" s="696">
        <v>2919.58</v>
      </c>
    </row>
    <row r="3087" spans="21:23">
      <c r="U3087" s="693">
        <f t="shared" si="48"/>
        <v>42887</v>
      </c>
      <c r="V3087" s="694">
        <v>42898</v>
      </c>
      <c r="W3087" s="696">
        <v>2919.58</v>
      </c>
    </row>
    <row r="3088" spans="21:23">
      <c r="U3088" s="693">
        <f t="shared" si="48"/>
        <v>42887</v>
      </c>
      <c r="V3088" s="694">
        <v>42899</v>
      </c>
      <c r="W3088" s="696">
        <v>2929.2</v>
      </c>
    </row>
    <row r="3089" spans="21:23">
      <c r="U3089" s="693">
        <f t="shared" si="48"/>
        <v>42887</v>
      </c>
      <c r="V3089" s="694">
        <v>42900</v>
      </c>
      <c r="W3089" s="696">
        <v>2933.13</v>
      </c>
    </row>
    <row r="3090" spans="21:23">
      <c r="U3090" s="693">
        <f t="shared" si="48"/>
        <v>42887</v>
      </c>
      <c r="V3090" s="694">
        <v>42901</v>
      </c>
      <c r="W3090" s="696">
        <v>2924.75</v>
      </c>
    </row>
    <row r="3091" spans="21:23">
      <c r="U3091" s="693">
        <f t="shared" si="48"/>
        <v>42887</v>
      </c>
      <c r="V3091" s="694">
        <v>42902</v>
      </c>
      <c r="W3091" s="696">
        <v>2953.83</v>
      </c>
    </row>
    <row r="3092" spans="21:23">
      <c r="U3092" s="693">
        <f t="shared" si="48"/>
        <v>42887</v>
      </c>
      <c r="V3092" s="694">
        <v>42903</v>
      </c>
      <c r="W3092" s="696">
        <v>2961.68</v>
      </c>
    </row>
    <row r="3093" spans="21:23">
      <c r="U3093" s="693">
        <f t="shared" si="48"/>
        <v>42887</v>
      </c>
      <c r="V3093" s="694">
        <v>42904</v>
      </c>
      <c r="W3093" s="696">
        <v>2961.68</v>
      </c>
    </row>
    <row r="3094" spans="21:23">
      <c r="U3094" s="693">
        <f t="shared" si="48"/>
        <v>42887</v>
      </c>
      <c r="V3094" s="694">
        <v>42905</v>
      </c>
      <c r="W3094" s="696">
        <v>2961.68</v>
      </c>
    </row>
    <row r="3095" spans="21:23">
      <c r="U3095" s="693">
        <f t="shared" si="48"/>
        <v>42887</v>
      </c>
      <c r="V3095" s="694">
        <v>42906</v>
      </c>
      <c r="W3095" s="696">
        <v>2961.68</v>
      </c>
    </row>
    <row r="3096" spans="21:23">
      <c r="U3096" s="693">
        <f t="shared" si="48"/>
        <v>42887</v>
      </c>
      <c r="V3096" s="694">
        <v>42907</v>
      </c>
      <c r="W3096" s="696">
        <v>3029.53</v>
      </c>
    </row>
    <row r="3097" spans="21:23">
      <c r="U3097" s="693">
        <f t="shared" si="48"/>
        <v>42887</v>
      </c>
      <c r="V3097" s="694">
        <v>42908</v>
      </c>
      <c r="W3097" s="696">
        <v>3053.9</v>
      </c>
    </row>
    <row r="3098" spans="21:23">
      <c r="U3098" s="693">
        <f t="shared" si="48"/>
        <v>42887</v>
      </c>
      <c r="V3098" s="694">
        <v>42909</v>
      </c>
      <c r="W3098" s="696">
        <v>3035.83</v>
      </c>
    </row>
    <row r="3099" spans="21:23">
      <c r="U3099" s="693">
        <f t="shared" si="48"/>
        <v>42887</v>
      </c>
      <c r="V3099" s="694">
        <v>42910</v>
      </c>
      <c r="W3099" s="696">
        <v>3010.68</v>
      </c>
    </row>
    <row r="3100" spans="21:23">
      <c r="U3100" s="693">
        <f t="shared" si="48"/>
        <v>42887</v>
      </c>
      <c r="V3100" s="694">
        <v>42911</v>
      </c>
      <c r="W3100" s="696">
        <v>3010.68</v>
      </c>
    </row>
    <row r="3101" spans="21:23">
      <c r="U3101" s="693">
        <f t="shared" si="48"/>
        <v>42887</v>
      </c>
      <c r="V3101" s="694">
        <v>42912</v>
      </c>
      <c r="W3101" s="696">
        <v>3010.68</v>
      </c>
    </row>
    <row r="3102" spans="21:23">
      <c r="U3102" s="693">
        <f t="shared" si="48"/>
        <v>42887</v>
      </c>
      <c r="V3102" s="694">
        <v>42913</v>
      </c>
      <c r="W3102" s="696">
        <v>3010.68</v>
      </c>
    </row>
    <row r="3103" spans="21:23">
      <c r="U3103" s="693">
        <f t="shared" si="48"/>
        <v>42887</v>
      </c>
      <c r="V3103" s="694">
        <v>42914</v>
      </c>
      <c r="W3103" s="696">
        <v>3025.28</v>
      </c>
    </row>
    <row r="3104" spans="21:23">
      <c r="U3104" s="693">
        <f t="shared" si="48"/>
        <v>42887</v>
      </c>
      <c r="V3104" s="694">
        <v>42915</v>
      </c>
      <c r="W3104" s="696">
        <v>3023.64</v>
      </c>
    </row>
    <row r="3105" spans="21:23">
      <c r="U3105" s="693">
        <f t="shared" si="48"/>
        <v>42887</v>
      </c>
      <c r="V3105" s="694">
        <v>42916</v>
      </c>
      <c r="W3105" s="696">
        <v>3038.26</v>
      </c>
    </row>
    <row r="3106" spans="21:23">
      <c r="U3106" s="693">
        <f t="shared" si="48"/>
        <v>42917</v>
      </c>
      <c r="V3106" s="694">
        <v>42917</v>
      </c>
      <c r="W3106" s="696">
        <v>3050.43</v>
      </c>
    </row>
    <row r="3107" spans="21:23">
      <c r="U3107" s="693">
        <f t="shared" si="48"/>
        <v>42917</v>
      </c>
      <c r="V3107" s="694">
        <v>42918</v>
      </c>
      <c r="W3107" s="696">
        <v>3050.43</v>
      </c>
    </row>
    <row r="3108" spans="21:23">
      <c r="U3108" s="693">
        <f t="shared" si="48"/>
        <v>42917</v>
      </c>
      <c r="V3108" s="694">
        <v>42919</v>
      </c>
      <c r="W3108" s="696">
        <v>3050.43</v>
      </c>
    </row>
    <row r="3109" spans="21:23">
      <c r="U3109" s="693">
        <f t="shared" si="48"/>
        <v>42917</v>
      </c>
      <c r="V3109" s="694">
        <v>42920</v>
      </c>
      <c r="W3109" s="696">
        <v>3050.43</v>
      </c>
    </row>
    <row r="3110" spans="21:23">
      <c r="U3110" s="693">
        <f t="shared" si="48"/>
        <v>42917</v>
      </c>
      <c r="V3110" s="694">
        <v>42921</v>
      </c>
      <c r="W3110" s="696">
        <v>3050.43</v>
      </c>
    </row>
    <row r="3111" spans="21:23">
      <c r="U3111" s="693">
        <f t="shared" si="48"/>
        <v>42917</v>
      </c>
      <c r="V3111" s="694">
        <v>42922</v>
      </c>
      <c r="W3111" s="696">
        <v>3068.93</v>
      </c>
    </row>
    <row r="3112" spans="21:23">
      <c r="U3112" s="693">
        <f t="shared" si="48"/>
        <v>42917</v>
      </c>
      <c r="V3112" s="694">
        <v>42923</v>
      </c>
      <c r="W3112" s="696">
        <v>3084.19</v>
      </c>
    </row>
    <row r="3113" spans="21:23">
      <c r="U3113" s="693">
        <f t="shared" si="48"/>
        <v>42917</v>
      </c>
      <c r="V3113" s="694">
        <v>42924</v>
      </c>
      <c r="W3113" s="696">
        <v>3092.65</v>
      </c>
    </row>
    <row r="3114" spans="21:23">
      <c r="U3114" s="693">
        <f t="shared" si="48"/>
        <v>42917</v>
      </c>
      <c r="V3114" s="694">
        <v>42925</v>
      </c>
      <c r="W3114" s="696">
        <v>3092.65</v>
      </c>
    </row>
    <row r="3115" spans="21:23">
      <c r="U3115" s="693">
        <f t="shared" si="48"/>
        <v>42917</v>
      </c>
      <c r="V3115" s="694">
        <v>42926</v>
      </c>
      <c r="W3115" s="696">
        <v>3092.65</v>
      </c>
    </row>
    <row r="3116" spans="21:23">
      <c r="U3116" s="693">
        <f t="shared" si="48"/>
        <v>42917</v>
      </c>
      <c r="V3116" s="694">
        <v>42927</v>
      </c>
      <c r="W3116" s="696">
        <v>3067.33</v>
      </c>
    </row>
    <row r="3117" spans="21:23">
      <c r="U3117" s="693">
        <f t="shared" si="48"/>
        <v>42917</v>
      </c>
      <c r="V3117" s="694">
        <v>42928</v>
      </c>
      <c r="W3117" s="696">
        <v>3067.73</v>
      </c>
    </row>
    <row r="3118" spans="21:23">
      <c r="U3118" s="693">
        <f t="shared" si="48"/>
        <v>42917</v>
      </c>
      <c r="V3118" s="694">
        <v>42929</v>
      </c>
      <c r="W3118" s="696">
        <v>3052.3</v>
      </c>
    </row>
    <row r="3119" spans="21:23">
      <c r="U3119" s="693">
        <f t="shared" si="48"/>
        <v>42917</v>
      </c>
      <c r="V3119" s="694">
        <v>42930</v>
      </c>
      <c r="W3119" s="696">
        <v>3043.6</v>
      </c>
    </row>
    <row r="3120" spans="21:23">
      <c r="U3120" s="693">
        <f t="shared" si="48"/>
        <v>42917</v>
      </c>
      <c r="V3120" s="694">
        <v>42931</v>
      </c>
      <c r="W3120" s="696">
        <v>3019.56</v>
      </c>
    </row>
    <row r="3121" spans="21:23">
      <c r="U3121" s="693">
        <f t="shared" si="48"/>
        <v>42917</v>
      </c>
      <c r="V3121" s="694">
        <v>42932</v>
      </c>
      <c r="W3121" s="696">
        <v>3019.56</v>
      </c>
    </row>
    <row r="3122" spans="21:23">
      <c r="U3122" s="693">
        <f t="shared" si="48"/>
        <v>42917</v>
      </c>
      <c r="V3122" s="694">
        <v>42933</v>
      </c>
      <c r="W3122" s="696">
        <v>3019.56</v>
      </c>
    </row>
    <row r="3123" spans="21:23">
      <c r="U3123" s="693">
        <f t="shared" si="48"/>
        <v>42917</v>
      </c>
      <c r="V3123" s="694">
        <v>42934</v>
      </c>
      <c r="W3123" s="696">
        <v>3030.6</v>
      </c>
    </row>
    <row r="3124" spans="21:23">
      <c r="U3124" s="693">
        <f t="shared" si="48"/>
        <v>42917</v>
      </c>
      <c r="V3124" s="694">
        <v>42935</v>
      </c>
      <c r="W3124" s="696">
        <v>3013.26</v>
      </c>
    </row>
    <row r="3125" spans="21:23">
      <c r="U3125" s="693">
        <f t="shared" si="48"/>
        <v>42917</v>
      </c>
      <c r="V3125" s="694">
        <v>42936</v>
      </c>
      <c r="W3125" s="696">
        <v>3010</v>
      </c>
    </row>
    <row r="3126" spans="21:23">
      <c r="U3126" s="693">
        <f t="shared" si="48"/>
        <v>42917</v>
      </c>
      <c r="V3126" s="694">
        <v>42937</v>
      </c>
      <c r="W3126" s="696">
        <v>3010</v>
      </c>
    </row>
    <row r="3127" spans="21:23">
      <c r="U3127" s="693">
        <f t="shared" si="48"/>
        <v>42917</v>
      </c>
      <c r="V3127" s="694">
        <v>42938</v>
      </c>
      <c r="W3127" s="696">
        <v>3010.77</v>
      </c>
    </row>
    <row r="3128" spans="21:23">
      <c r="U3128" s="693">
        <f t="shared" si="48"/>
        <v>42917</v>
      </c>
      <c r="V3128" s="694">
        <v>42939</v>
      </c>
      <c r="W3128" s="696">
        <v>3010.77</v>
      </c>
    </row>
    <row r="3129" spans="21:23">
      <c r="U3129" s="693">
        <f t="shared" si="48"/>
        <v>42917</v>
      </c>
      <c r="V3129" s="694">
        <v>42940</v>
      </c>
      <c r="W3129" s="696">
        <v>3010.77</v>
      </c>
    </row>
    <row r="3130" spans="21:23">
      <c r="U3130" s="693">
        <f t="shared" si="48"/>
        <v>42917</v>
      </c>
      <c r="V3130" s="694">
        <v>42941</v>
      </c>
      <c r="W3130" s="696">
        <v>3023.67</v>
      </c>
    </row>
    <row r="3131" spans="21:23">
      <c r="U3131" s="693">
        <f t="shared" si="48"/>
        <v>42917</v>
      </c>
      <c r="V3131" s="694">
        <v>42942</v>
      </c>
      <c r="W3131" s="696">
        <v>3026.55</v>
      </c>
    </row>
    <row r="3132" spans="21:23">
      <c r="U3132" s="693">
        <f t="shared" si="48"/>
        <v>42917</v>
      </c>
      <c r="V3132" s="694">
        <v>42943</v>
      </c>
      <c r="W3132" s="696">
        <v>3026.22</v>
      </c>
    </row>
    <row r="3133" spans="21:23">
      <c r="U3133" s="693">
        <f t="shared" si="48"/>
        <v>42917</v>
      </c>
      <c r="V3133" s="694">
        <v>42944</v>
      </c>
      <c r="W3133" s="696">
        <v>3002.94</v>
      </c>
    </row>
    <row r="3134" spans="21:23">
      <c r="U3134" s="693">
        <f t="shared" si="48"/>
        <v>42917</v>
      </c>
      <c r="V3134" s="694">
        <v>42945</v>
      </c>
      <c r="W3134" s="696">
        <v>2995.23</v>
      </c>
    </row>
    <row r="3135" spans="21:23">
      <c r="U3135" s="693">
        <f t="shared" si="48"/>
        <v>42917</v>
      </c>
      <c r="V3135" s="694">
        <v>42946</v>
      </c>
      <c r="W3135" s="696">
        <v>2995.23</v>
      </c>
    </row>
    <row r="3136" spans="21:23">
      <c r="U3136" s="693">
        <f t="shared" si="48"/>
        <v>42917</v>
      </c>
      <c r="V3136" s="694">
        <v>42947</v>
      </c>
      <c r="W3136" s="696">
        <v>2995.23</v>
      </c>
    </row>
    <row r="3137" spans="21:23">
      <c r="U3137" s="693">
        <f t="shared" si="48"/>
        <v>42948</v>
      </c>
      <c r="V3137" s="694">
        <v>42948</v>
      </c>
      <c r="W3137" s="696">
        <v>2997.59</v>
      </c>
    </row>
    <row r="3138" spans="21:23">
      <c r="U3138" s="693">
        <f t="shared" si="48"/>
        <v>42948</v>
      </c>
      <c r="V3138" s="694">
        <v>42949</v>
      </c>
      <c r="W3138" s="696">
        <v>2973.03</v>
      </c>
    </row>
    <row r="3139" spans="21:23">
      <c r="U3139" s="693">
        <f t="shared" ref="U3139:U3202" si="49">+DATE(YEAR(V3139),MONTH(V3139),1)</f>
        <v>42948</v>
      </c>
      <c r="V3139" s="694">
        <v>42950</v>
      </c>
      <c r="W3139" s="696">
        <v>2964.66</v>
      </c>
    </row>
    <row r="3140" spans="21:23">
      <c r="U3140" s="693">
        <f t="shared" si="49"/>
        <v>42948</v>
      </c>
      <c r="V3140" s="694">
        <v>42951</v>
      </c>
      <c r="W3140" s="696">
        <v>2954.54</v>
      </c>
    </row>
    <row r="3141" spans="21:23">
      <c r="U3141" s="693">
        <f t="shared" si="49"/>
        <v>42948</v>
      </c>
      <c r="V3141" s="694">
        <v>42952</v>
      </c>
      <c r="W3141" s="696">
        <v>2974.39</v>
      </c>
    </row>
    <row r="3142" spans="21:23">
      <c r="U3142" s="693">
        <f t="shared" si="49"/>
        <v>42948</v>
      </c>
      <c r="V3142" s="694">
        <v>42953</v>
      </c>
      <c r="W3142" s="696">
        <v>2974.39</v>
      </c>
    </row>
    <row r="3143" spans="21:23">
      <c r="U3143" s="693">
        <f t="shared" si="49"/>
        <v>42948</v>
      </c>
      <c r="V3143" s="694">
        <v>42954</v>
      </c>
      <c r="W3143" s="696">
        <v>2974.39</v>
      </c>
    </row>
    <row r="3144" spans="21:23">
      <c r="U3144" s="693">
        <f t="shared" si="49"/>
        <v>42948</v>
      </c>
      <c r="V3144" s="694">
        <v>42955</v>
      </c>
      <c r="W3144" s="696">
        <v>2974.39</v>
      </c>
    </row>
    <row r="3145" spans="21:23">
      <c r="U3145" s="693">
        <f t="shared" si="49"/>
        <v>42948</v>
      </c>
      <c r="V3145" s="694">
        <v>42956</v>
      </c>
      <c r="W3145" s="696">
        <v>2994.62</v>
      </c>
    </row>
    <row r="3146" spans="21:23">
      <c r="U3146" s="693">
        <f t="shared" si="49"/>
        <v>42948</v>
      </c>
      <c r="V3146" s="694">
        <v>42957</v>
      </c>
      <c r="W3146" s="696">
        <v>3011.14</v>
      </c>
    </row>
    <row r="3147" spans="21:23">
      <c r="U3147" s="693">
        <f t="shared" si="49"/>
        <v>42948</v>
      </c>
      <c r="V3147" s="694">
        <v>42958</v>
      </c>
      <c r="W3147" s="696">
        <v>2994.85</v>
      </c>
    </row>
    <row r="3148" spans="21:23">
      <c r="U3148" s="693">
        <f t="shared" si="49"/>
        <v>42948</v>
      </c>
      <c r="V3148" s="694">
        <v>42959</v>
      </c>
      <c r="W3148" s="696">
        <v>2984.99</v>
      </c>
    </row>
    <row r="3149" spans="21:23">
      <c r="U3149" s="693">
        <f t="shared" si="49"/>
        <v>42948</v>
      </c>
      <c r="V3149" s="694">
        <v>42960</v>
      </c>
      <c r="W3149" s="696">
        <v>2984.99</v>
      </c>
    </row>
    <row r="3150" spans="21:23">
      <c r="U3150" s="693">
        <f t="shared" si="49"/>
        <v>42948</v>
      </c>
      <c r="V3150" s="694">
        <v>42961</v>
      </c>
      <c r="W3150" s="696">
        <v>2984.99</v>
      </c>
    </row>
    <row r="3151" spans="21:23">
      <c r="U3151" s="693">
        <f t="shared" si="49"/>
        <v>42948</v>
      </c>
      <c r="V3151" s="694">
        <v>42962</v>
      </c>
      <c r="W3151" s="696">
        <v>2966.54</v>
      </c>
    </row>
    <row r="3152" spans="21:23">
      <c r="U3152" s="693">
        <f t="shared" si="49"/>
        <v>42948</v>
      </c>
      <c r="V3152" s="694">
        <v>42963</v>
      </c>
      <c r="W3152" s="696">
        <v>2974.7</v>
      </c>
    </row>
    <row r="3153" spans="21:23">
      <c r="U3153" s="693">
        <f t="shared" si="49"/>
        <v>42948</v>
      </c>
      <c r="V3153" s="694">
        <v>42964</v>
      </c>
      <c r="W3153" s="696">
        <v>2967.32</v>
      </c>
    </row>
    <row r="3154" spans="21:23">
      <c r="U3154" s="693">
        <f t="shared" si="49"/>
        <v>42948</v>
      </c>
      <c r="V3154" s="694">
        <v>42965</v>
      </c>
      <c r="W3154" s="696">
        <v>2980.03</v>
      </c>
    </row>
    <row r="3155" spans="21:23">
      <c r="U3155" s="693">
        <f t="shared" si="49"/>
        <v>42948</v>
      </c>
      <c r="V3155" s="694">
        <v>42966</v>
      </c>
      <c r="W3155" s="696">
        <v>2994.39</v>
      </c>
    </row>
    <row r="3156" spans="21:23">
      <c r="U3156" s="693">
        <f t="shared" si="49"/>
        <v>42948</v>
      </c>
      <c r="V3156" s="694">
        <v>42967</v>
      </c>
      <c r="W3156" s="696">
        <v>2994.39</v>
      </c>
    </row>
    <row r="3157" spans="21:23">
      <c r="U3157" s="693">
        <f t="shared" si="49"/>
        <v>42948</v>
      </c>
      <c r="V3157" s="694">
        <v>42968</v>
      </c>
      <c r="W3157" s="696">
        <v>2994.39</v>
      </c>
    </row>
    <row r="3158" spans="21:23">
      <c r="U3158" s="693">
        <f t="shared" si="49"/>
        <v>42948</v>
      </c>
      <c r="V3158" s="694">
        <v>42969</v>
      </c>
      <c r="W3158" s="696">
        <v>2994.39</v>
      </c>
    </row>
    <row r="3159" spans="21:23">
      <c r="U3159" s="693">
        <f t="shared" si="49"/>
        <v>42948</v>
      </c>
      <c r="V3159" s="694">
        <v>42970</v>
      </c>
      <c r="W3159" s="696">
        <v>2986.83</v>
      </c>
    </row>
    <row r="3160" spans="21:23">
      <c r="U3160" s="693">
        <f t="shared" si="49"/>
        <v>42948</v>
      </c>
      <c r="V3160" s="694">
        <v>42971</v>
      </c>
      <c r="W3160" s="696">
        <v>2986.88</v>
      </c>
    </row>
    <row r="3161" spans="21:23">
      <c r="U3161" s="693">
        <f t="shared" si="49"/>
        <v>42948</v>
      </c>
      <c r="V3161" s="694">
        <v>42972</v>
      </c>
      <c r="W3161" s="696">
        <v>2972.98</v>
      </c>
    </row>
    <row r="3162" spans="21:23">
      <c r="U3162" s="693">
        <f t="shared" si="49"/>
        <v>42948</v>
      </c>
      <c r="V3162" s="694">
        <v>42973</v>
      </c>
      <c r="W3162" s="696">
        <v>2933.96</v>
      </c>
    </row>
    <row r="3163" spans="21:23">
      <c r="U3163" s="693">
        <f t="shared" si="49"/>
        <v>42948</v>
      </c>
      <c r="V3163" s="694">
        <v>42974</v>
      </c>
      <c r="W3163" s="696">
        <v>2933.96</v>
      </c>
    </row>
    <row r="3164" spans="21:23">
      <c r="U3164" s="693">
        <f t="shared" si="49"/>
        <v>42948</v>
      </c>
      <c r="V3164" s="694">
        <v>42975</v>
      </c>
      <c r="W3164" s="696">
        <v>2933.96</v>
      </c>
    </row>
    <row r="3165" spans="21:23">
      <c r="U3165" s="693">
        <f t="shared" si="49"/>
        <v>42948</v>
      </c>
      <c r="V3165" s="694">
        <v>42976</v>
      </c>
      <c r="W3165" s="696">
        <v>2934.23</v>
      </c>
    </row>
    <row r="3166" spans="21:23">
      <c r="U3166" s="693">
        <f t="shared" si="49"/>
        <v>42948</v>
      </c>
      <c r="V3166" s="694">
        <v>42977</v>
      </c>
      <c r="W3166" s="696">
        <v>2940.35</v>
      </c>
    </row>
    <row r="3167" spans="21:23">
      <c r="U3167" s="693">
        <f t="shared" si="49"/>
        <v>42948</v>
      </c>
      <c r="V3167" s="694">
        <v>42978</v>
      </c>
      <c r="W3167" s="696">
        <v>2937.09</v>
      </c>
    </row>
    <row r="3168" spans="21:23">
      <c r="U3168" s="693">
        <f t="shared" si="49"/>
        <v>42979</v>
      </c>
      <c r="V3168" s="694">
        <v>42979</v>
      </c>
      <c r="W3168" s="696">
        <v>2948.09</v>
      </c>
    </row>
    <row r="3169" spans="21:23">
      <c r="U3169" s="693">
        <f t="shared" si="49"/>
        <v>42979</v>
      </c>
      <c r="V3169" s="694">
        <v>42980</v>
      </c>
      <c r="W3169" s="696">
        <v>2936.07</v>
      </c>
    </row>
    <row r="3170" spans="21:23">
      <c r="U3170" s="693">
        <f t="shared" si="49"/>
        <v>42979</v>
      </c>
      <c r="V3170" s="694">
        <v>42981</v>
      </c>
      <c r="W3170" s="696">
        <v>2936.07</v>
      </c>
    </row>
    <row r="3171" spans="21:23">
      <c r="U3171" s="693">
        <f t="shared" si="49"/>
        <v>42979</v>
      </c>
      <c r="V3171" s="694">
        <v>42982</v>
      </c>
      <c r="W3171" s="696">
        <v>2936.07</v>
      </c>
    </row>
    <row r="3172" spans="21:23">
      <c r="U3172" s="693">
        <f t="shared" si="49"/>
        <v>42979</v>
      </c>
      <c r="V3172" s="694">
        <v>42983</v>
      </c>
      <c r="W3172" s="696">
        <v>2936.07</v>
      </c>
    </row>
    <row r="3173" spans="21:23">
      <c r="U3173" s="693">
        <f t="shared" si="49"/>
        <v>42979</v>
      </c>
      <c r="V3173" s="694">
        <v>42984</v>
      </c>
      <c r="W3173" s="696">
        <v>2923.49</v>
      </c>
    </row>
    <row r="3174" spans="21:23">
      <c r="U3174" s="693">
        <f t="shared" si="49"/>
        <v>42979</v>
      </c>
      <c r="V3174" s="694">
        <v>42985</v>
      </c>
      <c r="W3174" s="696">
        <v>2919.5</v>
      </c>
    </row>
    <row r="3175" spans="21:23">
      <c r="U3175" s="693">
        <f t="shared" si="49"/>
        <v>42979</v>
      </c>
      <c r="V3175" s="694">
        <v>42986</v>
      </c>
      <c r="W3175" s="696">
        <v>2907.96</v>
      </c>
    </row>
    <row r="3176" spans="21:23">
      <c r="U3176" s="693">
        <f t="shared" si="49"/>
        <v>42979</v>
      </c>
      <c r="V3176" s="694">
        <v>42987</v>
      </c>
      <c r="W3176" s="696">
        <v>2909.15</v>
      </c>
    </row>
    <row r="3177" spans="21:23">
      <c r="U3177" s="693">
        <f t="shared" si="49"/>
        <v>42979</v>
      </c>
      <c r="V3177" s="694">
        <v>42988</v>
      </c>
      <c r="W3177" s="696">
        <v>2909.15</v>
      </c>
    </row>
    <row r="3178" spans="21:23">
      <c r="U3178" s="693">
        <f t="shared" si="49"/>
        <v>42979</v>
      </c>
      <c r="V3178" s="694">
        <v>42989</v>
      </c>
      <c r="W3178" s="696">
        <v>2909.15</v>
      </c>
    </row>
    <row r="3179" spans="21:23">
      <c r="U3179" s="693">
        <f t="shared" si="49"/>
        <v>42979</v>
      </c>
      <c r="V3179" s="694">
        <v>42990</v>
      </c>
      <c r="W3179" s="696">
        <v>2916.1</v>
      </c>
    </row>
    <row r="3180" spans="21:23">
      <c r="U3180" s="693">
        <f t="shared" si="49"/>
        <v>42979</v>
      </c>
      <c r="V3180" s="694">
        <v>42991</v>
      </c>
      <c r="W3180" s="696">
        <v>2923.03</v>
      </c>
    </row>
    <row r="3181" spans="21:23">
      <c r="U3181" s="693">
        <f t="shared" si="49"/>
        <v>42979</v>
      </c>
      <c r="V3181" s="694">
        <v>42992</v>
      </c>
      <c r="W3181" s="696">
        <v>2909.52</v>
      </c>
    </row>
    <row r="3182" spans="21:23">
      <c r="U3182" s="693">
        <f t="shared" si="49"/>
        <v>42979</v>
      </c>
      <c r="V3182" s="694">
        <v>42993</v>
      </c>
      <c r="W3182" s="696">
        <v>2905.98</v>
      </c>
    </row>
    <row r="3183" spans="21:23">
      <c r="U3183" s="693">
        <f t="shared" si="49"/>
        <v>42979</v>
      </c>
      <c r="V3183" s="694">
        <v>42994</v>
      </c>
      <c r="W3183" s="696">
        <v>2897.83</v>
      </c>
    </row>
    <row r="3184" spans="21:23">
      <c r="U3184" s="693">
        <f t="shared" si="49"/>
        <v>42979</v>
      </c>
      <c r="V3184" s="694">
        <v>42995</v>
      </c>
      <c r="W3184" s="696">
        <v>2897.83</v>
      </c>
    </row>
    <row r="3185" spans="21:23">
      <c r="U3185" s="693">
        <f t="shared" si="49"/>
        <v>42979</v>
      </c>
      <c r="V3185" s="694">
        <v>42996</v>
      </c>
      <c r="W3185" s="696">
        <v>2897.83</v>
      </c>
    </row>
    <row r="3186" spans="21:23">
      <c r="U3186" s="693">
        <f t="shared" si="49"/>
        <v>42979</v>
      </c>
      <c r="V3186" s="694">
        <v>42997</v>
      </c>
      <c r="W3186" s="696">
        <v>2906.06</v>
      </c>
    </row>
    <row r="3187" spans="21:23">
      <c r="U3187" s="693">
        <f t="shared" si="49"/>
        <v>42979</v>
      </c>
      <c r="V3187" s="694">
        <v>42998</v>
      </c>
      <c r="W3187" s="696">
        <v>2904.6</v>
      </c>
    </row>
    <row r="3188" spans="21:23">
      <c r="U3188" s="693">
        <f t="shared" si="49"/>
        <v>42979</v>
      </c>
      <c r="V3188" s="694">
        <v>42999</v>
      </c>
      <c r="W3188" s="696">
        <v>2893.18</v>
      </c>
    </row>
    <row r="3189" spans="21:23">
      <c r="U3189" s="693">
        <f t="shared" si="49"/>
        <v>42979</v>
      </c>
      <c r="V3189" s="694">
        <v>43000</v>
      </c>
      <c r="W3189" s="696">
        <v>2913.96</v>
      </c>
    </row>
    <row r="3190" spans="21:23">
      <c r="U3190" s="693">
        <f t="shared" si="49"/>
        <v>42979</v>
      </c>
      <c r="V3190" s="694">
        <v>43001</v>
      </c>
      <c r="W3190" s="696">
        <v>2900.73</v>
      </c>
    </row>
    <row r="3191" spans="21:23">
      <c r="U3191" s="693">
        <f t="shared" si="49"/>
        <v>42979</v>
      </c>
      <c r="V3191" s="694">
        <v>43002</v>
      </c>
      <c r="W3191" s="696">
        <v>2900.73</v>
      </c>
    </row>
    <row r="3192" spans="21:23">
      <c r="U3192" s="693">
        <f t="shared" si="49"/>
        <v>42979</v>
      </c>
      <c r="V3192" s="694">
        <v>43003</v>
      </c>
      <c r="W3192" s="696">
        <v>2900.73</v>
      </c>
    </row>
    <row r="3193" spans="21:23">
      <c r="U3193" s="693">
        <f t="shared" si="49"/>
        <v>42979</v>
      </c>
      <c r="V3193" s="694">
        <v>43004</v>
      </c>
      <c r="W3193" s="696">
        <v>2924.57</v>
      </c>
    </row>
    <row r="3194" spans="21:23">
      <c r="U3194" s="693">
        <f t="shared" si="49"/>
        <v>42979</v>
      </c>
      <c r="V3194" s="694">
        <v>43005</v>
      </c>
      <c r="W3194" s="696">
        <v>2930.7</v>
      </c>
    </row>
    <row r="3195" spans="21:23">
      <c r="U3195" s="693">
        <f t="shared" si="49"/>
        <v>42979</v>
      </c>
      <c r="V3195" s="694">
        <v>43006</v>
      </c>
      <c r="W3195" s="696">
        <v>2940.66</v>
      </c>
    </row>
    <row r="3196" spans="21:23">
      <c r="U3196" s="693">
        <f t="shared" si="49"/>
        <v>42979</v>
      </c>
      <c r="V3196" s="694">
        <v>43007</v>
      </c>
      <c r="W3196" s="696">
        <v>2941.07</v>
      </c>
    </row>
    <row r="3197" spans="21:23">
      <c r="U3197" s="693">
        <f t="shared" si="49"/>
        <v>42979</v>
      </c>
      <c r="V3197" s="694">
        <v>43008</v>
      </c>
      <c r="W3197" s="696">
        <v>2936.67</v>
      </c>
    </row>
    <row r="3198" spans="21:23">
      <c r="U3198" s="693">
        <f t="shared" si="49"/>
        <v>43009</v>
      </c>
      <c r="V3198" s="694">
        <v>43009</v>
      </c>
      <c r="W3198" s="696">
        <v>2936.67</v>
      </c>
    </row>
    <row r="3199" spans="21:23">
      <c r="U3199" s="693">
        <f t="shared" si="49"/>
        <v>43009</v>
      </c>
      <c r="V3199" s="694">
        <v>43010</v>
      </c>
      <c r="W3199" s="696">
        <v>2936.67</v>
      </c>
    </row>
    <row r="3200" spans="21:23">
      <c r="U3200" s="693">
        <f t="shared" si="49"/>
        <v>43009</v>
      </c>
      <c r="V3200" s="694">
        <v>43011</v>
      </c>
      <c r="W3200" s="696">
        <v>2949.33</v>
      </c>
    </row>
    <row r="3201" spans="21:23">
      <c r="U3201" s="693">
        <f t="shared" si="49"/>
        <v>43009</v>
      </c>
      <c r="V3201" s="694">
        <v>43012</v>
      </c>
      <c r="W3201" s="696">
        <v>2953.81</v>
      </c>
    </row>
    <row r="3202" spans="21:23">
      <c r="U3202" s="693">
        <f t="shared" si="49"/>
        <v>43009</v>
      </c>
      <c r="V3202" s="694">
        <v>43013</v>
      </c>
      <c r="W3202" s="696">
        <v>2945.59</v>
      </c>
    </row>
    <row r="3203" spans="21:23">
      <c r="U3203" s="693">
        <f t="shared" ref="U3203:U3266" si="50">+DATE(YEAR(V3203),MONTH(V3203),1)</f>
        <v>43009</v>
      </c>
      <c r="V3203" s="694">
        <v>43014</v>
      </c>
      <c r="W3203" s="696">
        <v>2926.82</v>
      </c>
    </row>
    <row r="3204" spans="21:23">
      <c r="U3204" s="693">
        <f t="shared" si="50"/>
        <v>43009</v>
      </c>
      <c r="V3204" s="694">
        <v>43015</v>
      </c>
      <c r="W3204" s="696">
        <v>2942.19</v>
      </c>
    </row>
    <row r="3205" spans="21:23">
      <c r="U3205" s="693">
        <f t="shared" si="50"/>
        <v>43009</v>
      </c>
      <c r="V3205" s="694">
        <v>43016</v>
      </c>
      <c r="W3205" s="696">
        <v>2942.19</v>
      </c>
    </row>
    <row r="3206" spans="21:23">
      <c r="U3206" s="693">
        <f t="shared" si="50"/>
        <v>43009</v>
      </c>
      <c r="V3206" s="694">
        <v>43017</v>
      </c>
      <c r="W3206" s="696">
        <v>2942.19</v>
      </c>
    </row>
    <row r="3207" spans="21:23">
      <c r="U3207" s="693">
        <f t="shared" si="50"/>
        <v>43009</v>
      </c>
      <c r="V3207" s="694">
        <v>43018</v>
      </c>
      <c r="W3207" s="696">
        <v>2942.19</v>
      </c>
    </row>
    <row r="3208" spans="21:23">
      <c r="U3208" s="693">
        <f t="shared" si="50"/>
        <v>43009</v>
      </c>
      <c r="V3208" s="694">
        <v>43019</v>
      </c>
      <c r="W3208" s="696">
        <v>2947.06</v>
      </c>
    </row>
    <row r="3209" spans="21:23">
      <c r="U3209" s="693">
        <f t="shared" si="50"/>
        <v>43009</v>
      </c>
      <c r="V3209" s="694">
        <v>43020</v>
      </c>
      <c r="W3209" s="696">
        <v>2953.77</v>
      </c>
    </row>
    <row r="3210" spans="21:23">
      <c r="U3210" s="693">
        <f t="shared" si="50"/>
        <v>43009</v>
      </c>
      <c r="V3210" s="694">
        <v>43021</v>
      </c>
      <c r="W3210" s="696">
        <v>2949.69</v>
      </c>
    </row>
    <row r="3211" spans="21:23">
      <c r="U3211" s="693">
        <f t="shared" si="50"/>
        <v>43009</v>
      </c>
      <c r="V3211" s="694">
        <v>43022</v>
      </c>
      <c r="W3211" s="696">
        <v>2932.05</v>
      </c>
    </row>
    <row r="3212" spans="21:23">
      <c r="U3212" s="693">
        <f t="shared" si="50"/>
        <v>43009</v>
      </c>
      <c r="V3212" s="694">
        <v>43023</v>
      </c>
      <c r="W3212" s="696">
        <v>2932.05</v>
      </c>
    </row>
    <row r="3213" spans="21:23">
      <c r="U3213" s="693">
        <f t="shared" si="50"/>
        <v>43009</v>
      </c>
      <c r="V3213" s="694">
        <v>43024</v>
      </c>
      <c r="W3213" s="696">
        <v>2932.05</v>
      </c>
    </row>
    <row r="3214" spans="21:23">
      <c r="U3214" s="693">
        <f t="shared" si="50"/>
        <v>43009</v>
      </c>
      <c r="V3214" s="694">
        <v>43025</v>
      </c>
      <c r="W3214" s="696">
        <v>2932.05</v>
      </c>
    </row>
    <row r="3215" spans="21:23">
      <c r="U3215" s="693">
        <f t="shared" si="50"/>
        <v>43009</v>
      </c>
      <c r="V3215" s="694">
        <v>43026</v>
      </c>
      <c r="W3215" s="696">
        <v>2944.27</v>
      </c>
    </row>
    <row r="3216" spans="21:23">
      <c r="U3216" s="693">
        <f t="shared" si="50"/>
        <v>43009</v>
      </c>
      <c r="V3216" s="694">
        <v>43027</v>
      </c>
      <c r="W3216" s="696">
        <v>2935.66</v>
      </c>
    </row>
    <row r="3217" spans="21:23">
      <c r="U3217" s="693">
        <f t="shared" si="50"/>
        <v>43009</v>
      </c>
      <c r="V3217" s="694">
        <v>43028</v>
      </c>
      <c r="W3217" s="696">
        <v>2921.92</v>
      </c>
    </row>
    <row r="3218" spans="21:23">
      <c r="U3218" s="693">
        <f t="shared" si="50"/>
        <v>43009</v>
      </c>
      <c r="V3218" s="694">
        <v>43029</v>
      </c>
      <c r="W3218" s="696">
        <v>2936.66</v>
      </c>
    </row>
    <row r="3219" spans="21:23">
      <c r="U3219" s="693">
        <f t="shared" si="50"/>
        <v>43009</v>
      </c>
      <c r="V3219" s="694">
        <v>43030</v>
      </c>
      <c r="W3219" s="696">
        <v>2936.66</v>
      </c>
    </row>
    <row r="3220" spans="21:23">
      <c r="U3220" s="693">
        <f t="shared" si="50"/>
        <v>43009</v>
      </c>
      <c r="V3220" s="694">
        <v>43031</v>
      </c>
      <c r="W3220" s="696">
        <v>2936.66</v>
      </c>
    </row>
    <row r="3221" spans="21:23">
      <c r="U3221" s="693">
        <f t="shared" si="50"/>
        <v>43009</v>
      </c>
      <c r="V3221" s="694">
        <v>43032</v>
      </c>
      <c r="W3221" s="696">
        <v>2947.69</v>
      </c>
    </row>
    <row r="3222" spans="21:23">
      <c r="U3222" s="693">
        <f t="shared" si="50"/>
        <v>43009</v>
      </c>
      <c r="V3222" s="694">
        <v>43033</v>
      </c>
      <c r="W3222" s="696">
        <v>2971.36</v>
      </c>
    </row>
    <row r="3223" spans="21:23">
      <c r="U3223" s="693">
        <f t="shared" si="50"/>
        <v>43009</v>
      </c>
      <c r="V3223" s="694">
        <v>43034</v>
      </c>
      <c r="W3223" s="696">
        <v>2989.39</v>
      </c>
    </row>
    <row r="3224" spans="21:23">
      <c r="U3224" s="693">
        <f t="shared" si="50"/>
        <v>43009</v>
      </c>
      <c r="V3224" s="694">
        <v>43035</v>
      </c>
      <c r="W3224" s="696">
        <v>3008.8</v>
      </c>
    </row>
    <row r="3225" spans="21:23">
      <c r="U3225" s="693">
        <f t="shared" si="50"/>
        <v>43009</v>
      </c>
      <c r="V3225" s="694">
        <v>43036</v>
      </c>
      <c r="W3225" s="696">
        <v>3009.85</v>
      </c>
    </row>
    <row r="3226" spans="21:23">
      <c r="U3226" s="693">
        <f t="shared" si="50"/>
        <v>43009</v>
      </c>
      <c r="V3226" s="694">
        <v>43037</v>
      </c>
      <c r="W3226" s="696">
        <v>3009.85</v>
      </c>
    </row>
    <row r="3227" spans="21:23">
      <c r="U3227" s="693">
        <f t="shared" si="50"/>
        <v>43009</v>
      </c>
      <c r="V3227" s="694">
        <v>43038</v>
      </c>
      <c r="W3227" s="696">
        <v>3009.85</v>
      </c>
    </row>
    <row r="3228" spans="21:23">
      <c r="U3228" s="693">
        <f t="shared" si="50"/>
        <v>43009</v>
      </c>
      <c r="V3228" s="694">
        <v>43039</v>
      </c>
      <c r="W3228" s="696">
        <v>3011.44</v>
      </c>
    </row>
    <row r="3229" spans="21:23">
      <c r="U3229" s="693">
        <f t="shared" si="50"/>
        <v>43040</v>
      </c>
      <c r="V3229" s="694">
        <v>43040</v>
      </c>
      <c r="W3229" s="696">
        <v>3039.19</v>
      </c>
    </row>
    <row r="3230" spans="21:23">
      <c r="U3230" s="693">
        <f t="shared" si="50"/>
        <v>43040</v>
      </c>
      <c r="V3230" s="694">
        <v>43041</v>
      </c>
      <c r="W3230" s="696">
        <v>3038.56</v>
      </c>
    </row>
    <row r="3231" spans="21:23">
      <c r="U3231" s="693">
        <f t="shared" si="50"/>
        <v>43040</v>
      </c>
      <c r="V3231" s="694">
        <v>43042</v>
      </c>
      <c r="W3231" s="696">
        <v>3054.38</v>
      </c>
    </row>
    <row r="3232" spans="21:23">
      <c r="U3232" s="693">
        <f t="shared" si="50"/>
        <v>43040</v>
      </c>
      <c r="V3232" s="694">
        <v>43043</v>
      </c>
      <c r="W3232" s="696">
        <v>3055.57</v>
      </c>
    </row>
    <row r="3233" spans="21:23">
      <c r="U3233" s="693">
        <f t="shared" si="50"/>
        <v>43040</v>
      </c>
      <c r="V3233" s="694">
        <v>43044</v>
      </c>
      <c r="W3233" s="696">
        <v>3055.57</v>
      </c>
    </row>
    <row r="3234" spans="21:23">
      <c r="U3234" s="693">
        <f t="shared" si="50"/>
        <v>43040</v>
      </c>
      <c r="V3234" s="694">
        <v>43045</v>
      </c>
      <c r="W3234" s="696">
        <v>3055.57</v>
      </c>
    </row>
    <row r="3235" spans="21:23">
      <c r="U3235" s="693">
        <f t="shared" si="50"/>
        <v>43040</v>
      </c>
      <c r="V3235" s="694">
        <v>43046</v>
      </c>
      <c r="W3235" s="696">
        <v>3055.57</v>
      </c>
    </row>
    <row r="3236" spans="21:23">
      <c r="U3236" s="693">
        <f t="shared" si="50"/>
        <v>43040</v>
      </c>
      <c r="V3236" s="694">
        <v>43047</v>
      </c>
      <c r="W3236" s="696">
        <v>3026.94</v>
      </c>
    </row>
    <row r="3237" spans="21:23">
      <c r="U3237" s="693">
        <f t="shared" si="50"/>
        <v>43040</v>
      </c>
      <c r="V3237" s="694">
        <v>43048</v>
      </c>
      <c r="W3237" s="696">
        <v>3017.78</v>
      </c>
    </row>
    <row r="3238" spans="21:23">
      <c r="U3238" s="693">
        <f t="shared" si="50"/>
        <v>43040</v>
      </c>
      <c r="V3238" s="694">
        <v>43049</v>
      </c>
      <c r="W3238" s="696">
        <v>3015.52</v>
      </c>
    </row>
    <row r="3239" spans="21:23">
      <c r="U3239" s="693">
        <f t="shared" si="50"/>
        <v>43040</v>
      </c>
      <c r="V3239" s="694">
        <v>43050</v>
      </c>
      <c r="W3239" s="696">
        <v>3004.88</v>
      </c>
    </row>
    <row r="3240" spans="21:23">
      <c r="U3240" s="693">
        <f t="shared" si="50"/>
        <v>43040</v>
      </c>
      <c r="V3240" s="694">
        <v>43051</v>
      </c>
      <c r="W3240" s="696">
        <v>3004.88</v>
      </c>
    </row>
    <row r="3241" spans="21:23">
      <c r="U3241" s="693">
        <f t="shared" si="50"/>
        <v>43040</v>
      </c>
      <c r="V3241" s="694">
        <v>43052</v>
      </c>
      <c r="W3241" s="696">
        <v>3004.88</v>
      </c>
    </row>
    <row r="3242" spans="21:23">
      <c r="U3242" s="693">
        <f t="shared" si="50"/>
        <v>43040</v>
      </c>
      <c r="V3242" s="694">
        <v>43053</v>
      </c>
      <c r="W3242" s="696">
        <v>3004.88</v>
      </c>
    </row>
    <row r="3243" spans="21:23">
      <c r="U3243" s="693">
        <f t="shared" si="50"/>
        <v>43040</v>
      </c>
      <c r="V3243" s="694">
        <v>43054</v>
      </c>
      <c r="W3243" s="696">
        <v>3016.7</v>
      </c>
    </row>
    <row r="3244" spans="21:23">
      <c r="U3244" s="693">
        <f t="shared" si="50"/>
        <v>43040</v>
      </c>
      <c r="V3244" s="694">
        <v>43055</v>
      </c>
      <c r="W3244" s="696">
        <v>3023.88</v>
      </c>
    </row>
    <row r="3245" spans="21:23">
      <c r="U3245" s="693">
        <f t="shared" si="50"/>
        <v>43040</v>
      </c>
      <c r="V3245" s="694">
        <v>43056</v>
      </c>
      <c r="W3245" s="696">
        <v>3015.79</v>
      </c>
    </row>
    <row r="3246" spans="21:23">
      <c r="U3246" s="693">
        <f t="shared" si="50"/>
        <v>43040</v>
      </c>
      <c r="V3246" s="694">
        <v>43057</v>
      </c>
      <c r="W3246" s="696">
        <v>3003.19</v>
      </c>
    </row>
    <row r="3247" spans="21:23">
      <c r="U3247" s="693">
        <f t="shared" si="50"/>
        <v>43040</v>
      </c>
      <c r="V3247" s="694">
        <v>43058</v>
      </c>
      <c r="W3247" s="696">
        <v>3003.19</v>
      </c>
    </row>
    <row r="3248" spans="21:23">
      <c r="U3248" s="693">
        <f t="shared" si="50"/>
        <v>43040</v>
      </c>
      <c r="V3248" s="694">
        <v>43059</v>
      </c>
      <c r="W3248" s="696">
        <v>3003.19</v>
      </c>
    </row>
    <row r="3249" spans="21:23">
      <c r="U3249" s="693">
        <f t="shared" si="50"/>
        <v>43040</v>
      </c>
      <c r="V3249" s="694">
        <v>43060</v>
      </c>
      <c r="W3249" s="696">
        <v>3011.32</v>
      </c>
    </row>
    <row r="3250" spans="21:23">
      <c r="U3250" s="693">
        <f t="shared" si="50"/>
        <v>43040</v>
      </c>
      <c r="V3250" s="694">
        <v>43061</v>
      </c>
      <c r="W3250" s="696">
        <v>3001.07</v>
      </c>
    </row>
    <row r="3251" spans="21:23">
      <c r="U3251" s="693">
        <f t="shared" si="50"/>
        <v>43040</v>
      </c>
      <c r="V3251" s="694">
        <v>43062</v>
      </c>
      <c r="W3251" s="696">
        <v>2982.73</v>
      </c>
    </row>
    <row r="3252" spans="21:23">
      <c r="U3252" s="693">
        <f t="shared" si="50"/>
        <v>43040</v>
      </c>
      <c r="V3252" s="694">
        <v>43063</v>
      </c>
      <c r="W3252" s="696">
        <v>2982.73</v>
      </c>
    </row>
    <row r="3253" spans="21:23">
      <c r="U3253" s="693">
        <f t="shared" si="50"/>
        <v>43040</v>
      </c>
      <c r="V3253" s="694">
        <v>43064</v>
      </c>
      <c r="W3253" s="696">
        <v>2976.39</v>
      </c>
    </row>
    <row r="3254" spans="21:23">
      <c r="U3254" s="693">
        <f t="shared" si="50"/>
        <v>43040</v>
      </c>
      <c r="V3254" s="694">
        <v>43065</v>
      </c>
      <c r="W3254" s="696">
        <v>2976.39</v>
      </c>
    </row>
    <row r="3255" spans="21:23">
      <c r="U3255" s="693">
        <f t="shared" si="50"/>
        <v>43040</v>
      </c>
      <c r="V3255" s="694">
        <v>43066</v>
      </c>
      <c r="W3255" s="696">
        <v>2976.39</v>
      </c>
    </row>
    <row r="3256" spans="21:23">
      <c r="U3256" s="693">
        <f t="shared" si="50"/>
        <v>43040</v>
      </c>
      <c r="V3256" s="694">
        <v>43067</v>
      </c>
      <c r="W3256" s="696">
        <v>2986.84</v>
      </c>
    </row>
    <row r="3257" spans="21:23">
      <c r="U3257" s="693">
        <f t="shared" si="50"/>
        <v>43040</v>
      </c>
      <c r="V3257" s="694">
        <v>43068</v>
      </c>
      <c r="W3257" s="696">
        <v>3003.94</v>
      </c>
    </row>
    <row r="3258" spans="21:23">
      <c r="U3258" s="693">
        <f t="shared" si="50"/>
        <v>43040</v>
      </c>
      <c r="V3258" s="694">
        <v>43069</v>
      </c>
      <c r="W3258" s="696">
        <v>3006.09</v>
      </c>
    </row>
    <row r="3259" spans="21:23">
      <c r="U3259" s="693">
        <f t="shared" si="50"/>
        <v>43070</v>
      </c>
      <c r="V3259" s="694">
        <v>43070</v>
      </c>
      <c r="W3259" s="696">
        <v>3006.04</v>
      </c>
    </row>
    <row r="3260" spans="21:23">
      <c r="U3260" s="693">
        <f t="shared" si="50"/>
        <v>43070</v>
      </c>
      <c r="V3260" s="694">
        <v>43071</v>
      </c>
      <c r="W3260" s="696">
        <v>3005.76</v>
      </c>
    </row>
    <row r="3261" spans="21:23">
      <c r="U3261" s="693">
        <f t="shared" si="50"/>
        <v>43070</v>
      </c>
      <c r="V3261" s="694">
        <v>43072</v>
      </c>
      <c r="W3261" s="696">
        <v>3005.76</v>
      </c>
    </row>
    <row r="3262" spans="21:23">
      <c r="U3262" s="693">
        <f t="shared" si="50"/>
        <v>43070</v>
      </c>
      <c r="V3262" s="694">
        <v>43073</v>
      </c>
      <c r="W3262" s="696">
        <v>3005.76</v>
      </c>
    </row>
    <row r="3263" spans="21:23">
      <c r="U3263" s="693">
        <f t="shared" si="50"/>
        <v>43070</v>
      </c>
      <c r="V3263" s="694">
        <v>43074</v>
      </c>
      <c r="W3263" s="696">
        <v>2993.49</v>
      </c>
    </row>
    <row r="3264" spans="21:23">
      <c r="U3264" s="693">
        <f t="shared" si="50"/>
        <v>43070</v>
      </c>
      <c r="V3264" s="694">
        <v>43075</v>
      </c>
      <c r="W3264" s="696">
        <v>2996.53</v>
      </c>
    </row>
    <row r="3265" spans="21:23">
      <c r="U3265" s="693">
        <f t="shared" si="50"/>
        <v>43070</v>
      </c>
      <c r="V3265" s="694">
        <v>43076</v>
      </c>
      <c r="W3265" s="696">
        <v>3007.07</v>
      </c>
    </row>
    <row r="3266" spans="21:23">
      <c r="U3266" s="693">
        <f t="shared" si="50"/>
        <v>43070</v>
      </c>
      <c r="V3266" s="694">
        <v>43077</v>
      </c>
      <c r="W3266" s="696">
        <v>3016.18</v>
      </c>
    </row>
    <row r="3267" spans="21:23">
      <c r="U3267" s="693">
        <f t="shared" ref="U3267:U3330" si="51">+DATE(YEAR(V3267),MONTH(V3267),1)</f>
        <v>43070</v>
      </c>
      <c r="V3267" s="694">
        <v>43078</v>
      </c>
      <c r="W3267" s="696">
        <v>3016.18</v>
      </c>
    </row>
    <row r="3268" spans="21:23">
      <c r="U3268" s="693">
        <f t="shared" si="51"/>
        <v>43070</v>
      </c>
      <c r="V3268" s="694">
        <v>43079</v>
      </c>
      <c r="W3268" s="696">
        <v>3016.18</v>
      </c>
    </row>
    <row r="3269" spans="21:23">
      <c r="U3269" s="693">
        <f t="shared" si="51"/>
        <v>43070</v>
      </c>
      <c r="V3269" s="694">
        <v>43080</v>
      </c>
      <c r="W3269" s="696">
        <v>3016.18</v>
      </c>
    </row>
    <row r="3270" spans="21:23">
      <c r="U3270" s="693">
        <f t="shared" si="51"/>
        <v>43070</v>
      </c>
      <c r="V3270" s="694">
        <v>43081</v>
      </c>
      <c r="W3270" s="696">
        <v>3013.99</v>
      </c>
    </row>
    <row r="3271" spans="21:23">
      <c r="U3271" s="693">
        <f t="shared" si="51"/>
        <v>43070</v>
      </c>
      <c r="V3271" s="694">
        <v>43082</v>
      </c>
      <c r="W3271" s="696">
        <v>3029.75</v>
      </c>
    </row>
    <row r="3272" spans="21:23">
      <c r="U3272" s="693">
        <f t="shared" si="51"/>
        <v>43070</v>
      </c>
      <c r="V3272" s="694">
        <v>43083</v>
      </c>
      <c r="W3272" s="696">
        <v>3015.41</v>
      </c>
    </row>
    <row r="3273" spans="21:23">
      <c r="U3273" s="693">
        <f t="shared" si="51"/>
        <v>43070</v>
      </c>
      <c r="V3273" s="694">
        <v>43084</v>
      </c>
      <c r="W3273" s="696">
        <v>2999.07</v>
      </c>
    </row>
    <row r="3274" spans="21:23">
      <c r="U3274" s="693">
        <f t="shared" si="51"/>
        <v>43070</v>
      </c>
      <c r="V3274" s="694">
        <v>43085</v>
      </c>
      <c r="W3274" s="696">
        <v>2996.61</v>
      </c>
    </row>
    <row r="3275" spans="21:23">
      <c r="U3275" s="693">
        <f t="shared" si="51"/>
        <v>43070</v>
      </c>
      <c r="V3275" s="694">
        <v>43086</v>
      </c>
      <c r="W3275" s="696">
        <v>2996.61</v>
      </c>
    </row>
    <row r="3276" spans="21:23">
      <c r="U3276" s="693">
        <f t="shared" si="51"/>
        <v>43070</v>
      </c>
      <c r="V3276" s="694">
        <v>43087</v>
      </c>
      <c r="W3276" s="696">
        <v>2996.61</v>
      </c>
    </row>
    <row r="3277" spans="21:23">
      <c r="U3277" s="693">
        <f t="shared" si="51"/>
        <v>43070</v>
      </c>
      <c r="V3277" s="694">
        <v>43088</v>
      </c>
      <c r="W3277" s="696">
        <v>2975.59</v>
      </c>
    </row>
    <row r="3278" spans="21:23">
      <c r="U3278" s="693">
        <f t="shared" si="51"/>
        <v>43070</v>
      </c>
      <c r="V3278" s="694">
        <v>43089</v>
      </c>
      <c r="W3278" s="696">
        <v>2972.05</v>
      </c>
    </row>
    <row r="3279" spans="21:23">
      <c r="U3279" s="693">
        <f t="shared" si="51"/>
        <v>43070</v>
      </c>
      <c r="V3279" s="694">
        <v>43090</v>
      </c>
      <c r="W3279" s="696">
        <v>2965.77</v>
      </c>
    </row>
    <row r="3280" spans="21:23">
      <c r="U3280" s="693">
        <f t="shared" si="51"/>
        <v>43070</v>
      </c>
      <c r="V3280" s="694">
        <v>43091</v>
      </c>
      <c r="W3280" s="696">
        <v>2963.58</v>
      </c>
    </row>
    <row r="3281" spans="21:23">
      <c r="U3281" s="693">
        <f t="shared" si="51"/>
        <v>43070</v>
      </c>
      <c r="V3281" s="694">
        <v>43092</v>
      </c>
      <c r="W3281" s="696">
        <v>2962.14</v>
      </c>
    </row>
    <row r="3282" spans="21:23">
      <c r="U3282" s="693">
        <f t="shared" si="51"/>
        <v>43070</v>
      </c>
      <c r="V3282" s="694">
        <v>43093</v>
      </c>
      <c r="W3282" s="696">
        <v>2962.14</v>
      </c>
    </row>
    <row r="3283" spans="21:23">
      <c r="U3283" s="693">
        <f t="shared" si="51"/>
        <v>43070</v>
      </c>
      <c r="V3283" s="694">
        <v>43094</v>
      </c>
      <c r="W3283" s="696">
        <v>2962.14</v>
      </c>
    </row>
    <row r="3284" spans="21:23">
      <c r="U3284" s="693">
        <f t="shared" si="51"/>
        <v>43070</v>
      </c>
      <c r="V3284" s="694">
        <v>43095</v>
      </c>
      <c r="W3284" s="696">
        <v>2962.14</v>
      </c>
    </row>
    <row r="3285" spans="21:23">
      <c r="U3285" s="693">
        <f t="shared" si="51"/>
        <v>43070</v>
      </c>
      <c r="V3285" s="694">
        <v>43096</v>
      </c>
      <c r="W3285" s="696">
        <v>2962.26</v>
      </c>
    </row>
    <row r="3286" spans="21:23">
      <c r="U3286" s="693">
        <f t="shared" si="51"/>
        <v>43070</v>
      </c>
      <c r="V3286" s="694">
        <v>43097</v>
      </c>
      <c r="W3286" s="696">
        <v>2971.63</v>
      </c>
    </row>
    <row r="3287" spans="21:23">
      <c r="U3287" s="693">
        <f t="shared" si="51"/>
        <v>43070</v>
      </c>
      <c r="V3287" s="694">
        <v>43098</v>
      </c>
      <c r="W3287" s="696">
        <v>2984</v>
      </c>
    </row>
    <row r="3288" spans="21:23">
      <c r="U3288" s="693">
        <f t="shared" si="51"/>
        <v>43070</v>
      </c>
      <c r="V3288" s="694">
        <v>43099</v>
      </c>
      <c r="W3288" s="696">
        <v>2984</v>
      </c>
    </row>
    <row r="3289" spans="21:23">
      <c r="U3289" s="693">
        <f t="shared" si="51"/>
        <v>43070</v>
      </c>
      <c r="V3289" s="694">
        <v>43100</v>
      </c>
      <c r="W3289" s="696">
        <v>2984</v>
      </c>
    </row>
    <row r="3290" spans="21:23">
      <c r="U3290" s="693">
        <f t="shared" si="51"/>
        <v>43101</v>
      </c>
      <c r="V3290" s="694">
        <v>43101</v>
      </c>
      <c r="W3290" s="696">
        <v>2984</v>
      </c>
    </row>
    <row r="3291" spans="21:23">
      <c r="U3291" s="693">
        <f t="shared" si="51"/>
        <v>43101</v>
      </c>
      <c r="V3291" s="694">
        <v>43102</v>
      </c>
      <c r="W3291" s="696">
        <v>2984</v>
      </c>
    </row>
    <row r="3292" spans="21:23">
      <c r="U3292" s="693">
        <f t="shared" si="51"/>
        <v>43101</v>
      </c>
      <c r="V3292" s="694">
        <v>43103</v>
      </c>
      <c r="W3292" s="696">
        <v>2940.94</v>
      </c>
    </row>
    <row r="3293" spans="21:23">
      <c r="U3293" s="693">
        <f t="shared" si="51"/>
        <v>43101</v>
      </c>
      <c r="V3293" s="694">
        <v>43104</v>
      </c>
      <c r="W3293" s="696">
        <v>2908.68</v>
      </c>
    </row>
    <row r="3294" spans="21:23">
      <c r="U3294" s="693">
        <f t="shared" si="51"/>
        <v>43101</v>
      </c>
      <c r="V3294" s="694">
        <v>43105</v>
      </c>
      <c r="W3294" s="696">
        <v>2885.76</v>
      </c>
    </row>
    <row r="3295" spans="21:23">
      <c r="U3295" s="693">
        <f t="shared" si="51"/>
        <v>43101</v>
      </c>
      <c r="V3295" s="694">
        <v>43106</v>
      </c>
      <c r="W3295" s="696">
        <v>2898.32</v>
      </c>
    </row>
    <row r="3296" spans="21:23">
      <c r="U3296" s="693">
        <f t="shared" si="51"/>
        <v>43101</v>
      </c>
      <c r="V3296" s="694">
        <v>43107</v>
      </c>
      <c r="W3296" s="696">
        <v>2898.32</v>
      </c>
    </row>
    <row r="3297" spans="21:23">
      <c r="U3297" s="693">
        <f t="shared" si="51"/>
        <v>43101</v>
      </c>
      <c r="V3297" s="694">
        <v>43108</v>
      </c>
      <c r="W3297" s="696">
        <v>2898.32</v>
      </c>
    </row>
    <row r="3298" spans="21:23">
      <c r="U3298" s="693">
        <f t="shared" si="51"/>
        <v>43101</v>
      </c>
      <c r="V3298" s="694">
        <v>43109</v>
      </c>
      <c r="W3298" s="696">
        <v>2898.32</v>
      </c>
    </row>
    <row r="3299" spans="21:23">
      <c r="U3299" s="693">
        <f t="shared" si="51"/>
        <v>43101</v>
      </c>
      <c r="V3299" s="694">
        <v>43110</v>
      </c>
      <c r="W3299" s="696">
        <v>2914.37</v>
      </c>
    </row>
    <row r="3300" spans="21:23">
      <c r="U3300" s="693">
        <f t="shared" si="51"/>
        <v>43101</v>
      </c>
      <c r="V3300" s="694">
        <v>43111</v>
      </c>
      <c r="W3300" s="696">
        <v>2895.69</v>
      </c>
    </row>
    <row r="3301" spans="21:23">
      <c r="U3301" s="693">
        <f t="shared" si="51"/>
        <v>43101</v>
      </c>
      <c r="V3301" s="694">
        <v>43112</v>
      </c>
      <c r="W3301" s="696">
        <v>2865.79</v>
      </c>
    </row>
    <row r="3302" spans="21:23">
      <c r="U3302" s="693">
        <f t="shared" si="51"/>
        <v>43101</v>
      </c>
      <c r="V3302" s="694">
        <v>43113</v>
      </c>
      <c r="W3302" s="696">
        <v>2855.86</v>
      </c>
    </row>
    <row r="3303" spans="21:23">
      <c r="U3303" s="693">
        <f t="shared" si="51"/>
        <v>43101</v>
      </c>
      <c r="V3303" s="694">
        <v>43114</v>
      </c>
      <c r="W3303" s="696">
        <v>2855.86</v>
      </c>
    </row>
    <row r="3304" spans="21:23">
      <c r="U3304" s="693">
        <f t="shared" si="51"/>
        <v>43101</v>
      </c>
      <c r="V3304" s="694">
        <v>43115</v>
      </c>
      <c r="W3304" s="696">
        <v>2855.86</v>
      </c>
    </row>
    <row r="3305" spans="21:23">
      <c r="U3305" s="693">
        <f t="shared" si="51"/>
        <v>43101</v>
      </c>
      <c r="V3305" s="694">
        <v>43116</v>
      </c>
      <c r="W3305" s="696">
        <v>2855.86</v>
      </c>
    </row>
    <row r="3306" spans="21:23">
      <c r="U3306" s="693">
        <f t="shared" si="51"/>
        <v>43101</v>
      </c>
      <c r="V3306" s="694">
        <v>43117</v>
      </c>
      <c r="W3306" s="696">
        <v>2868.03</v>
      </c>
    </row>
    <row r="3307" spans="21:23">
      <c r="U3307" s="693">
        <f t="shared" si="51"/>
        <v>43101</v>
      </c>
      <c r="V3307" s="694">
        <v>43118</v>
      </c>
      <c r="W3307" s="696">
        <v>2851.13</v>
      </c>
    </row>
    <row r="3308" spans="21:23">
      <c r="U3308" s="693">
        <f t="shared" si="51"/>
        <v>43101</v>
      </c>
      <c r="V3308" s="694">
        <v>43119</v>
      </c>
      <c r="W3308" s="696">
        <v>2836.85</v>
      </c>
    </row>
    <row r="3309" spans="21:23">
      <c r="U3309" s="693">
        <f t="shared" si="51"/>
        <v>43101</v>
      </c>
      <c r="V3309" s="694">
        <v>43120</v>
      </c>
      <c r="W3309" s="696">
        <v>2851.75</v>
      </c>
    </row>
    <row r="3310" spans="21:23">
      <c r="U3310" s="693">
        <f t="shared" si="51"/>
        <v>43101</v>
      </c>
      <c r="V3310" s="694">
        <v>43121</v>
      </c>
      <c r="W3310" s="696">
        <v>2851.75</v>
      </c>
    </row>
    <row r="3311" spans="21:23">
      <c r="U3311" s="693">
        <f t="shared" si="51"/>
        <v>43101</v>
      </c>
      <c r="V3311" s="694">
        <v>43122</v>
      </c>
      <c r="W3311" s="696">
        <v>2851.75</v>
      </c>
    </row>
    <row r="3312" spans="21:23">
      <c r="U3312" s="693">
        <f t="shared" si="51"/>
        <v>43101</v>
      </c>
      <c r="V3312" s="694">
        <v>43123</v>
      </c>
      <c r="W3312" s="696">
        <v>2854.2</v>
      </c>
    </row>
    <row r="3313" spans="21:23">
      <c r="U3313" s="693">
        <f t="shared" si="51"/>
        <v>43101</v>
      </c>
      <c r="V3313" s="694">
        <v>43124</v>
      </c>
      <c r="W3313" s="696">
        <v>2858.5</v>
      </c>
    </row>
    <row r="3314" spans="21:23">
      <c r="U3314" s="693">
        <f t="shared" si="51"/>
        <v>43101</v>
      </c>
      <c r="V3314" s="694">
        <v>43125</v>
      </c>
      <c r="W3314" s="696">
        <v>2820.53</v>
      </c>
    </row>
    <row r="3315" spans="21:23">
      <c r="U3315" s="693">
        <f t="shared" si="51"/>
        <v>43101</v>
      </c>
      <c r="V3315" s="694">
        <v>43126</v>
      </c>
      <c r="W3315" s="696">
        <v>2783.13</v>
      </c>
    </row>
    <row r="3316" spans="21:23">
      <c r="U3316" s="693">
        <f t="shared" si="51"/>
        <v>43101</v>
      </c>
      <c r="V3316" s="694">
        <v>43127</v>
      </c>
      <c r="W3316" s="696">
        <v>2805.12</v>
      </c>
    </row>
    <row r="3317" spans="21:23">
      <c r="U3317" s="693">
        <f t="shared" si="51"/>
        <v>43101</v>
      </c>
      <c r="V3317" s="694">
        <v>43128</v>
      </c>
      <c r="W3317" s="696">
        <v>2805.12</v>
      </c>
    </row>
    <row r="3318" spans="21:23">
      <c r="U3318" s="693">
        <f t="shared" si="51"/>
        <v>43101</v>
      </c>
      <c r="V3318" s="694">
        <v>43129</v>
      </c>
      <c r="W3318" s="696">
        <v>2805.12</v>
      </c>
    </row>
    <row r="3319" spans="21:23">
      <c r="U3319" s="693">
        <f t="shared" si="51"/>
        <v>43101</v>
      </c>
      <c r="V3319" s="694">
        <v>43130</v>
      </c>
      <c r="W3319" s="696">
        <v>2842.67</v>
      </c>
    </row>
    <row r="3320" spans="21:23">
      <c r="U3320" s="693">
        <f t="shared" si="51"/>
        <v>43101</v>
      </c>
      <c r="V3320" s="694">
        <v>43131</v>
      </c>
      <c r="W3320" s="696">
        <v>2844.14</v>
      </c>
    </row>
    <row r="3321" spans="21:23">
      <c r="U3321" s="693">
        <f t="shared" si="51"/>
        <v>43132</v>
      </c>
      <c r="V3321" s="694">
        <v>43132</v>
      </c>
      <c r="W3321" s="696">
        <v>2835.05</v>
      </c>
    </row>
    <row r="3322" spans="21:23">
      <c r="U3322" s="693">
        <f t="shared" si="51"/>
        <v>43132</v>
      </c>
      <c r="V3322" s="694">
        <v>43133</v>
      </c>
      <c r="W3322" s="696">
        <v>2806.67</v>
      </c>
    </row>
    <row r="3323" spans="21:23">
      <c r="U3323" s="693">
        <f t="shared" si="51"/>
        <v>43132</v>
      </c>
      <c r="V3323" s="694">
        <v>43134</v>
      </c>
      <c r="W3323" s="696">
        <v>2832.13</v>
      </c>
    </row>
    <row r="3324" spans="21:23">
      <c r="U3324" s="693">
        <f t="shared" si="51"/>
        <v>43132</v>
      </c>
      <c r="V3324" s="694">
        <v>43135</v>
      </c>
      <c r="W3324" s="696">
        <v>2832.13</v>
      </c>
    </row>
    <row r="3325" spans="21:23">
      <c r="U3325" s="693">
        <f t="shared" si="51"/>
        <v>43132</v>
      </c>
      <c r="V3325" s="694">
        <v>43136</v>
      </c>
      <c r="W3325" s="696">
        <v>2832.13</v>
      </c>
    </row>
    <row r="3326" spans="21:23">
      <c r="U3326" s="693">
        <f t="shared" si="51"/>
        <v>43132</v>
      </c>
      <c r="V3326" s="694">
        <v>43137</v>
      </c>
      <c r="W3326" s="696">
        <v>2843.6</v>
      </c>
    </row>
    <row r="3327" spans="21:23">
      <c r="U3327" s="693">
        <f t="shared" si="51"/>
        <v>43132</v>
      </c>
      <c r="V3327" s="694">
        <v>43138</v>
      </c>
      <c r="W3327" s="696">
        <v>2844.83</v>
      </c>
    </row>
    <row r="3328" spans="21:23">
      <c r="U3328" s="693">
        <f t="shared" si="51"/>
        <v>43132</v>
      </c>
      <c r="V3328" s="694">
        <v>43139</v>
      </c>
      <c r="W3328" s="696">
        <v>2830.89</v>
      </c>
    </row>
    <row r="3329" spans="21:23">
      <c r="U3329" s="693">
        <f t="shared" si="51"/>
        <v>43132</v>
      </c>
      <c r="V3329" s="694">
        <v>43140</v>
      </c>
      <c r="W3329" s="696">
        <v>2862.78</v>
      </c>
    </row>
    <row r="3330" spans="21:23">
      <c r="U3330" s="693">
        <f t="shared" si="51"/>
        <v>43132</v>
      </c>
      <c r="V3330" s="694">
        <v>43141</v>
      </c>
      <c r="W3330" s="696">
        <v>2908.7</v>
      </c>
    </row>
    <row r="3331" spans="21:23">
      <c r="U3331" s="693">
        <f t="shared" ref="U3331:U3394" si="52">+DATE(YEAR(V3331),MONTH(V3331),1)</f>
        <v>43132</v>
      </c>
      <c r="V3331" s="694">
        <v>43142</v>
      </c>
      <c r="W3331" s="696">
        <v>2908.7</v>
      </c>
    </row>
    <row r="3332" spans="21:23">
      <c r="U3332" s="693">
        <f t="shared" si="52"/>
        <v>43132</v>
      </c>
      <c r="V3332" s="694">
        <v>43143</v>
      </c>
      <c r="W3332" s="696">
        <v>2908.7</v>
      </c>
    </row>
    <row r="3333" spans="21:23">
      <c r="U3333" s="693">
        <f t="shared" si="52"/>
        <v>43132</v>
      </c>
      <c r="V3333" s="694">
        <v>43144</v>
      </c>
      <c r="W3333" s="696">
        <v>2904.29</v>
      </c>
    </row>
    <row r="3334" spans="21:23">
      <c r="U3334" s="693">
        <f t="shared" si="52"/>
        <v>43132</v>
      </c>
      <c r="V3334" s="694">
        <v>43145</v>
      </c>
      <c r="W3334" s="696">
        <v>2904.71</v>
      </c>
    </row>
    <row r="3335" spans="21:23">
      <c r="U3335" s="693">
        <f t="shared" si="52"/>
        <v>43132</v>
      </c>
      <c r="V3335" s="694">
        <v>43146</v>
      </c>
      <c r="W3335" s="696">
        <v>2895.79</v>
      </c>
    </row>
    <row r="3336" spans="21:23">
      <c r="U3336" s="693">
        <f t="shared" si="52"/>
        <v>43132</v>
      </c>
      <c r="V3336" s="694">
        <v>43147</v>
      </c>
      <c r="W3336" s="696">
        <v>2851.74</v>
      </c>
    </row>
    <row r="3337" spans="21:23">
      <c r="U3337" s="693">
        <f t="shared" si="52"/>
        <v>43132</v>
      </c>
      <c r="V3337" s="694">
        <v>43148</v>
      </c>
      <c r="W3337" s="696">
        <v>2853.16</v>
      </c>
    </row>
    <row r="3338" spans="21:23">
      <c r="U3338" s="693">
        <f t="shared" si="52"/>
        <v>43132</v>
      </c>
      <c r="V3338" s="694">
        <v>43149</v>
      </c>
      <c r="W3338" s="696">
        <v>2853.16</v>
      </c>
    </row>
    <row r="3339" spans="21:23">
      <c r="U3339" s="693">
        <f t="shared" si="52"/>
        <v>43132</v>
      </c>
      <c r="V3339" s="694">
        <v>43150</v>
      </c>
      <c r="W3339" s="696">
        <v>2853.16</v>
      </c>
    </row>
    <row r="3340" spans="21:23">
      <c r="U3340" s="693">
        <f t="shared" si="52"/>
        <v>43132</v>
      </c>
      <c r="V3340" s="694">
        <v>43151</v>
      </c>
      <c r="W3340" s="696">
        <v>2853.16</v>
      </c>
    </row>
    <row r="3341" spans="21:23">
      <c r="U3341" s="693">
        <f t="shared" si="52"/>
        <v>43132</v>
      </c>
      <c r="V3341" s="694">
        <v>43152</v>
      </c>
      <c r="W3341" s="696">
        <v>2862.01</v>
      </c>
    </row>
    <row r="3342" spans="21:23">
      <c r="U3342" s="693">
        <f t="shared" si="52"/>
        <v>43132</v>
      </c>
      <c r="V3342" s="694">
        <v>43153</v>
      </c>
      <c r="W3342" s="696">
        <v>2877.94</v>
      </c>
    </row>
    <row r="3343" spans="21:23">
      <c r="U3343" s="693">
        <f t="shared" si="52"/>
        <v>43132</v>
      </c>
      <c r="V3343" s="694">
        <v>43154</v>
      </c>
      <c r="W3343" s="696">
        <v>2877.04</v>
      </c>
    </row>
    <row r="3344" spans="21:23">
      <c r="U3344" s="693">
        <f t="shared" si="52"/>
        <v>43132</v>
      </c>
      <c r="V3344" s="694">
        <v>43155</v>
      </c>
      <c r="W3344" s="696">
        <v>2849.59</v>
      </c>
    </row>
    <row r="3345" spans="21:23">
      <c r="U3345" s="693">
        <f t="shared" si="52"/>
        <v>43132</v>
      </c>
      <c r="V3345" s="694">
        <v>43156</v>
      </c>
      <c r="W3345" s="696">
        <v>2849.59</v>
      </c>
    </row>
    <row r="3346" spans="21:23">
      <c r="U3346" s="693">
        <f t="shared" si="52"/>
        <v>43132</v>
      </c>
      <c r="V3346" s="694">
        <v>43157</v>
      </c>
      <c r="W3346" s="696">
        <v>2849.59</v>
      </c>
    </row>
    <row r="3347" spans="21:23">
      <c r="U3347" s="693">
        <f t="shared" si="52"/>
        <v>43132</v>
      </c>
      <c r="V3347" s="694">
        <v>43158</v>
      </c>
      <c r="W3347" s="696">
        <v>2849.91</v>
      </c>
    </row>
    <row r="3348" spans="21:23">
      <c r="U3348" s="693">
        <f t="shared" si="52"/>
        <v>43132</v>
      </c>
      <c r="V3348" s="694">
        <v>43159</v>
      </c>
      <c r="W3348" s="696">
        <v>2855.93</v>
      </c>
    </row>
    <row r="3349" spans="21:23">
      <c r="U3349" s="693">
        <f t="shared" si="52"/>
        <v>43160</v>
      </c>
      <c r="V3349" s="694">
        <v>43160</v>
      </c>
      <c r="W3349" s="696">
        <v>2867.94</v>
      </c>
    </row>
    <row r="3350" spans="21:23">
      <c r="U3350" s="693">
        <f t="shared" si="52"/>
        <v>43160</v>
      </c>
      <c r="V3350" s="694">
        <v>43161</v>
      </c>
      <c r="W3350" s="696">
        <v>2879.05</v>
      </c>
    </row>
    <row r="3351" spans="21:23">
      <c r="U3351" s="693">
        <f t="shared" si="52"/>
        <v>43160</v>
      </c>
      <c r="V3351" s="694">
        <v>43162</v>
      </c>
      <c r="W3351" s="696">
        <v>2879.15</v>
      </c>
    </row>
    <row r="3352" spans="21:23">
      <c r="U3352" s="693">
        <f t="shared" si="52"/>
        <v>43160</v>
      </c>
      <c r="V3352" s="694">
        <v>43163</v>
      </c>
      <c r="W3352" s="696">
        <v>2879.15</v>
      </c>
    </row>
    <row r="3353" spans="21:23">
      <c r="U3353" s="693">
        <f t="shared" si="52"/>
        <v>43160</v>
      </c>
      <c r="V3353" s="694">
        <v>43164</v>
      </c>
      <c r="W3353" s="696">
        <v>2879.15</v>
      </c>
    </row>
    <row r="3354" spans="21:23">
      <c r="U3354" s="693">
        <f t="shared" si="52"/>
        <v>43160</v>
      </c>
      <c r="V3354" s="694">
        <v>43165</v>
      </c>
      <c r="W3354" s="696">
        <v>2859.09</v>
      </c>
    </row>
    <row r="3355" spans="21:23">
      <c r="U3355" s="693">
        <f t="shared" si="52"/>
        <v>43160</v>
      </c>
      <c r="V3355" s="694">
        <v>43166</v>
      </c>
      <c r="W3355" s="696">
        <v>2845.05</v>
      </c>
    </row>
    <row r="3356" spans="21:23">
      <c r="U3356" s="693">
        <f t="shared" si="52"/>
        <v>43160</v>
      </c>
      <c r="V3356" s="694">
        <v>43167</v>
      </c>
      <c r="W3356" s="696">
        <v>2858.88</v>
      </c>
    </row>
    <row r="3357" spans="21:23">
      <c r="U3357" s="693">
        <f t="shared" si="52"/>
        <v>43160</v>
      </c>
      <c r="V3357" s="694">
        <v>43168</v>
      </c>
      <c r="W3357" s="696">
        <v>2871.36</v>
      </c>
    </row>
    <row r="3358" spans="21:23">
      <c r="U3358" s="693">
        <f t="shared" si="52"/>
        <v>43160</v>
      </c>
      <c r="V3358" s="694">
        <v>43169</v>
      </c>
      <c r="W3358" s="696">
        <v>2866.93</v>
      </c>
    </row>
    <row r="3359" spans="21:23">
      <c r="U3359" s="693">
        <f t="shared" si="52"/>
        <v>43160</v>
      </c>
      <c r="V3359" s="694">
        <v>43170</v>
      </c>
      <c r="W3359" s="696">
        <v>2866.93</v>
      </c>
    </row>
    <row r="3360" spans="21:23">
      <c r="U3360" s="693">
        <f t="shared" si="52"/>
        <v>43160</v>
      </c>
      <c r="V3360" s="694">
        <v>43171</v>
      </c>
      <c r="W3360" s="696">
        <v>2866.93</v>
      </c>
    </row>
    <row r="3361" spans="21:23">
      <c r="U3361" s="693">
        <f t="shared" si="52"/>
        <v>43160</v>
      </c>
      <c r="V3361" s="694">
        <v>43172</v>
      </c>
      <c r="W3361" s="696">
        <v>2851.84</v>
      </c>
    </row>
    <row r="3362" spans="21:23">
      <c r="U3362" s="693">
        <f t="shared" si="52"/>
        <v>43160</v>
      </c>
      <c r="V3362" s="694">
        <v>43173</v>
      </c>
      <c r="W3362" s="696">
        <v>2848.38</v>
      </c>
    </row>
    <row r="3363" spans="21:23">
      <c r="U3363" s="693">
        <f t="shared" si="52"/>
        <v>43160</v>
      </c>
      <c r="V3363" s="694">
        <v>43174</v>
      </c>
      <c r="W3363" s="696">
        <v>2845.76</v>
      </c>
    </row>
    <row r="3364" spans="21:23">
      <c r="U3364" s="693">
        <f t="shared" si="52"/>
        <v>43160</v>
      </c>
      <c r="V3364" s="694">
        <v>43175</v>
      </c>
      <c r="W3364" s="696">
        <v>2850.04</v>
      </c>
    </row>
    <row r="3365" spans="21:23">
      <c r="U3365" s="693">
        <f t="shared" si="52"/>
        <v>43160</v>
      </c>
      <c r="V3365" s="694">
        <v>43176</v>
      </c>
      <c r="W3365" s="696">
        <v>2852.48</v>
      </c>
    </row>
    <row r="3366" spans="21:23">
      <c r="U3366" s="693">
        <f t="shared" si="52"/>
        <v>43160</v>
      </c>
      <c r="V3366" s="694">
        <v>43177</v>
      </c>
      <c r="W3366" s="696">
        <v>2852.48</v>
      </c>
    </row>
    <row r="3367" spans="21:23">
      <c r="U3367" s="693">
        <f t="shared" si="52"/>
        <v>43160</v>
      </c>
      <c r="V3367" s="694">
        <v>43178</v>
      </c>
      <c r="W3367" s="696">
        <v>2852.48</v>
      </c>
    </row>
    <row r="3368" spans="21:23">
      <c r="U3368" s="693">
        <f t="shared" si="52"/>
        <v>43160</v>
      </c>
      <c r="V3368" s="694">
        <v>43179</v>
      </c>
      <c r="W3368" s="696">
        <v>2852.48</v>
      </c>
    </row>
    <row r="3369" spans="21:23">
      <c r="U3369" s="693">
        <f t="shared" si="52"/>
        <v>43160</v>
      </c>
      <c r="V3369" s="694">
        <v>43180</v>
      </c>
      <c r="W3369" s="696">
        <v>2866.92</v>
      </c>
    </row>
    <row r="3370" spans="21:23">
      <c r="U3370" s="693">
        <f t="shared" si="52"/>
        <v>43160</v>
      </c>
      <c r="V3370" s="694">
        <v>43181</v>
      </c>
      <c r="W3370" s="696">
        <v>2850.69</v>
      </c>
    </row>
    <row r="3371" spans="21:23">
      <c r="U3371" s="693">
        <f t="shared" si="52"/>
        <v>43160</v>
      </c>
      <c r="V3371" s="694">
        <v>43182</v>
      </c>
      <c r="W3371" s="696">
        <v>2857.88</v>
      </c>
    </row>
    <row r="3372" spans="21:23">
      <c r="U3372" s="693">
        <f t="shared" si="52"/>
        <v>43160</v>
      </c>
      <c r="V3372" s="694">
        <v>43183</v>
      </c>
      <c r="W3372" s="696">
        <v>2849.01</v>
      </c>
    </row>
    <row r="3373" spans="21:23">
      <c r="U3373" s="693">
        <f t="shared" si="52"/>
        <v>43160</v>
      </c>
      <c r="V3373" s="694">
        <v>43184</v>
      </c>
      <c r="W3373" s="696">
        <v>2849.01</v>
      </c>
    </row>
    <row r="3374" spans="21:23">
      <c r="U3374" s="693">
        <f t="shared" si="52"/>
        <v>43160</v>
      </c>
      <c r="V3374" s="694">
        <v>43185</v>
      </c>
      <c r="W3374" s="696">
        <v>2849.01</v>
      </c>
    </row>
    <row r="3375" spans="21:23">
      <c r="U3375" s="693">
        <f t="shared" si="52"/>
        <v>43160</v>
      </c>
      <c r="V3375" s="694">
        <v>43186</v>
      </c>
      <c r="W3375" s="696">
        <v>2816.33</v>
      </c>
    </row>
    <row r="3376" spans="21:23">
      <c r="U3376" s="693">
        <f t="shared" si="52"/>
        <v>43160</v>
      </c>
      <c r="V3376" s="694">
        <v>43187</v>
      </c>
      <c r="W3376" s="696">
        <v>2780.04</v>
      </c>
    </row>
    <row r="3377" spans="21:23">
      <c r="U3377" s="693">
        <f t="shared" si="52"/>
        <v>43160</v>
      </c>
      <c r="V3377" s="694">
        <v>43188</v>
      </c>
      <c r="W3377" s="696">
        <v>2780.47</v>
      </c>
    </row>
    <row r="3378" spans="21:23">
      <c r="U3378" s="693">
        <f t="shared" si="52"/>
        <v>43160</v>
      </c>
      <c r="V3378" s="694">
        <v>43189</v>
      </c>
      <c r="W3378" s="696">
        <v>2780.47</v>
      </c>
    </row>
    <row r="3379" spans="21:23">
      <c r="U3379" s="693">
        <f t="shared" si="52"/>
        <v>43160</v>
      </c>
      <c r="V3379" s="694">
        <v>43190</v>
      </c>
      <c r="W3379" s="696">
        <v>2780.47</v>
      </c>
    </row>
    <row r="3380" spans="21:23">
      <c r="U3380" s="693">
        <f t="shared" si="52"/>
        <v>43191</v>
      </c>
      <c r="V3380" s="694">
        <v>43191</v>
      </c>
      <c r="W3380" s="696">
        <v>2780.47</v>
      </c>
    </row>
    <row r="3381" spans="21:23">
      <c r="U3381" s="693">
        <f t="shared" si="52"/>
        <v>43191</v>
      </c>
      <c r="V3381" s="694">
        <v>43192</v>
      </c>
      <c r="W3381" s="696">
        <v>2780.47</v>
      </c>
    </row>
    <row r="3382" spans="21:23">
      <c r="U3382" s="693">
        <f t="shared" si="52"/>
        <v>43191</v>
      </c>
      <c r="V3382" s="694">
        <v>43193</v>
      </c>
      <c r="W3382" s="696">
        <v>2792.96</v>
      </c>
    </row>
    <row r="3383" spans="21:23">
      <c r="U3383" s="693">
        <f t="shared" si="52"/>
        <v>43191</v>
      </c>
      <c r="V3383" s="694">
        <v>43194</v>
      </c>
      <c r="W3383" s="696">
        <v>2778.27</v>
      </c>
    </row>
    <row r="3384" spans="21:23">
      <c r="U3384" s="693">
        <f t="shared" si="52"/>
        <v>43191</v>
      </c>
      <c r="V3384" s="694">
        <v>43195</v>
      </c>
      <c r="W3384" s="696">
        <v>2791.57</v>
      </c>
    </row>
    <row r="3385" spans="21:23">
      <c r="U3385" s="693">
        <f t="shared" si="52"/>
        <v>43191</v>
      </c>
      <c r="V3385" s="694">
        <v>43196</v>
      </c>
      <c r="W3385" s="696">
        <v>2787.36</v>
      </c>
    </row>
    <row r="3386" spans="21:23">
      <c r="U3386" s="693">
        <f t="shared" si="52"/>
        <v>43191</v>
      </c>
      <c r="V3386" s="694">
        <v>43197</v>
      </c>
      <c r="W3386" s="696">
        <v>2791.88</v>
      </c>
    </row>
    <row r="3387" spans="21:23">
      <c r="U3387" s="693">
        <f t="shared" si="52"/>
        <v>43191</v>
      </c>
      <c r="V3387" s="694">
        <v>43198</v>
      </c>
      <c r="W3387" s="696">
        <v>2791.88</v>
      </c>
    </row>
    <row r="3388" spans="21:23">
      <c r="U3388" s="693">
        <f t="shared" si="52"/>
        <v>43191</v>
      </c>
      <c r="V3388" s="694">
        <v>43199</v>
      </c>
      <c r="W3388" s="696">
        <v>2791.88</v>
      </c>
    </row>
    <row r="3389" spans="21:23">
      <c r="U3389" s="693">
        <f t="shared" si="52"/>
        <v>43191</v>
      </c>
      <c r="V3389" s="694">
        <v>43200</v>
      </c>
      <c r="W3389" s="696">
        <v>2781.95</v>
      </c>
    </row>
    <row r="3390" spans="21:23">
      <c r="U3390" s="693">
        <f t="shared" si="52"/>
        <v>43191</v>
      </c>
      <c r="V3390" s="694">
        <v>43201</v>
      </c>
      <c r="W3390" s="696">
        <v>2767.82</v>
      </c>
    </row>
    <row r="3391" spans="21:23">
      <c r="U3391" s="693">
        <f t="shared" si="52"/>
        <v>43191</v>
      </c>
      <c r="V3391" s="694">
        <v>43202</v>
      </c>
      <c r="W3391" s="696">
        <v>2733.24</v>
      </c>
    </row>
    <row r="3392" spans="21:23">
      <c r="U3392" s="693">
        <f t="shared" si="52"/>
        <v>43191</v>
      </c>
      <c r="V3392" s="694">
        <v>43203</v>
      </c>
      <c r="W3392" s="696">
        <v>2710.03</v>
      </c>
    </row>
    <row r="3393" spans="21:23">
      <c r="U3393" s="693">
        <f t="shared" si="52"/>
        <v>43191</v>
      </c>
      <c r="V3393" s="694">
        <v>43204</v>
      </c>
      <c r="W3393" s="696">
        <v>2705.34</v>
      </c>
    </row>
    <row r="3394" spans="21:23">
      <c r="U3394" s="693">
        <f t="shared" si="52"/>
        <v>43191</v>
      </c>
      <c r="V3394" s="694">
        <v>43205</v>
      </c>
      <c r="W3394" s="696">
        <v>2705.34</v>
      </c>
    </row>
    <row r="3395" spans="21:23">
      <c r="U3395" s="693">
        <f t="shared" ref="U3395:U3458" si="53">+DATE(YEAR(V3395),MONTH(V3395),1)</f>
        <v>43191</v>
      </c>
      <c r="V3395" s="694">
        <v>43206</v>
      </c>
      <c r="W3395" s="696">
        <v>2705.34</v>
      </c>
    </row>
    <row r="3396" spans="21:23">
      <c r="U3396" s="693">
        <f t="shared" si="53"/>
        <v>43191</v>
      </c>
      <c r="V3396" s="694">
        <v>43207</v>
      </c>
      <c r="W3396" s="696">
        <v>2726.47</v>
      </c>
    </row>
    <row r="3397" spans="21:23">
      <c r="U3397" s="693">
        <f t="shared" si="53"/>
        <v>43191</v>
      </c>
      <c r="V3397" s="694">
        <v>43208</v>
      </c>
      <c r="W3397" s="696">
        <v>2725.66</v>
      </c>
    </row>
    <row r="3398" spans="21:23">
      <c r="U3398" s="693">
        <f t="shared" si="53"/>
        <v>43191</v>
      </c>
      <c r="V3398" s="694">
        <v>43209</v>
      </c>
      <c r="W3398" s="696">
        <v>2705.64</v>
      </c>
    </row>
    <row r="3399" spans="21:23">
      <c r="U3399" s="693">
        <f t="shared" si="53"/>
        <v>43191</v>
      </c>
      <c r="V3399" s="694">
        <v>43210</v>
      </c>
      <c r="W3399" s="696">
        <v>2724.47</v>
      </c>
    </row>
    <row r="3400" spans="21:23">
      <c r="U3400" s="693">
        <f t="shared" si="53"/>
        <v>43191</v>
      </c>
      <c r="V3400" s="694">
        <v>43211</v>
      </c>
      <c r="W3400" s="696">
        <v>2757.96</v>
      </c>
    </row>
    <row r="3401" spans="21:23">
      <c r="U3401" s="693">
        <f t="shared" si="53"/>
        <v>43191</v>
      </c>
      <c r="V3401" s="694">
        <v>43212</v>
      </c>
      <c r="W3401" s="696">
        <v>2757.96</v>
      </c>
    </row>
    <row r="3402" spans="21:23">
      <c r="U3402" s="693">
        <f t="shared" si="53"/>
        <v>43191</v>
      </c>
      <c r="V3402" s="694">
        <v>43213</v>
      </c>
      <c r="W3402" s="696">
        <v>2757.96</v>
      </c>
    </row>
    <row r="3403" spans="21:23">
      <c r="U3403" s="693">
        <f t="shared" si="53"/>
        <v>43191</v>
      </c>
      <c r="V3403" s="694">
        <v>43214</v>
      </c>
      <c r="W3403" s="696">
        <v>2799.45</v>
      </c>
    </row>
    <row r="3404" spans="21:23">
      <c r="U3404" s="693">
        <f t="shared" si="53"/>
        <v>43191</v>
      </c>
      <c r="V3404" s="694">
        <v>43215</v>
      </c>
      <c r="W3404" s="696">
        <v>2785.22</v>
      </c>
    </row>
    <row r="3405" spans="21:23">
      <c r="U3405" s="693">
        <f t="shared" si="53"/>
        <v>43191</v>
      </c>
      <c r="V3405" s="694">
        <v>43216</v>
      </c>
      <c r="W3405" s="696">
        <v>2820.29</v>
      </c>
    </row>
    <row r="3406" spans="21:23">
      <c r="U3406" s="693">
        <f t="shared" si="53"/>
        <v>43191</v>
      </c>
      <c r="V3406" s="694">
        <v>43217</v>
      </c>
      <c r="W3406" s="696">
        <v>2812.83</v>
      </c>
    </row>
    <row r="3407" spans="21:23">
      <c r="U3407" s="693">
        <f t="shared" si="53"/>
        <v>43191</v>
      </c>
      <c r="V3407" s="694">
        <v>43218</v>
      </c>
      <c r="W3407" s="696">
        <v>2806.28</v>
      </c>
    </row>
    <row r="3408" spans="21:23">
      <c r="U3408" s="693">
        <f t="shared" si="53"/>
        <v>43191</v>
      </c>
      <c r="V3408" s="694">
        <v>43219</v>
      </c>
      <c r="W3408" s="696">
        <v>2806.28</v>
      </c>
    </row>
    <row r="3409" spans="21:23">
      <c r="U3409" s="693">
        <f t="shared" si="53"/>
        <v>43191</v>
      </c>
      <c r="V3409" s="694">
        <v>43220</v>
      </c>
      <c r="W3409" s="696">
        <v>2806.28</v>
      </c>
    </row>
    <row r="3410" spans="21:23">
      <c r="U3410" s="693">
        <f t="shared" si="53"/>
        <v>43221</v>
      </c>
      <c r="V3410" s="694">
        <v>43221</v>
      </c>
      <c r="W3410" s="696">
        <v>2809.92</v>
      </c>
    </row>
    <row r="3411" spans="21:23">
      <c r="U3411" s="693">
        <f t="shared" si="53"/>
        <v>43221</v>
      </c>
      <c r="V3411" s="694">
        <v>43222</v>
      </c>
      <c r="W3411" s="696">
        <v>2809.92</v>
      </c>
    </row>
    <row r="3412" spans="21:23">
      <c r="U3412" s="693">
        <f t="shared" si="53"/>
        <v>43221</v>
      </c>
      <c r="V3412" s="694">
        <v>43223</v>
      </c>
      <c r="W3412" s="696">
        <v>2831.99</v>
      </c>
    </row>
    <row r="3413" spans="21:23">
      <c r="U3413" s="693">
        <f t="shared" si="53"/>
        <v>43221</v>
      </c>
      <c r="V3413" s="694">
        <v>43224</v>
      </c>
      <c r="W3413" s="696">
        <v>2857.85</v>
      </c>
    </row>
    <row r="3414" spans="21:23">
      <c r="U3414" s="693">
        <f t="shared" si="53"/>
        <v>43221</v>
      </c>
      <c r="V3414" s="694">
        <v>43225</v>
      </c>
      <c r="W3414" s="696">
        <v>2843.41</v>
      </c>
    </row>
    <row r="3415" spans="21:23">
      <c r="U3415" s="693">
        <f t="shared" si="53"/>
        <v>43221</v>
      </c>
      <c r="V3415" s="694">
        <v>43226</v>
      </c>
      <c r="W3415" s="696">
        <v>2843.41</v>
      </c>
    </row>
    <row r="3416" spans="21:23">
      <c r="U3416" s="693">
        <f t="shared" si="53"/>
        <v>43221</v>
      </c>
      <c r="V3416" s="694">
        <v>43227</v>
      </c>
      <c r="W3416" s="696">
        <v>2843.41</v>
      </c>
    </row>
    <row r="3417" spans="21:23">
      <c r="U3417" s="693">
        <f t="shared" si="53"/>
        <v>43221</v>
      </c>
      <c r="V3417" s="694">
        <v>43228</v>
      </c>
      <c r="W3417" s="696">
        <v>2817.2</v>
      </c>
    </row>
    <row r="3418" spans="21:23">
      <c r="U3418" s="693">
        <f t="shared" si="53"/>
        <v>43221</v>
      </c>
      <c r="V3418" s="694">
        <v>43229</v>
      </c>
      <c r="W3418" s="696">
        <v>2866</v>
      </c>
    </row>
    <row r="3419" spans="21:23">
      <c r="U3419" s="693">
        <f t="shared" si="53"/>
        <v>43221</v>
      </c>
      <c r="V3419" s="694">
        <v>43230</v>
      </c>
      <c r="W3419" s="696">
        <v>2859.51</v>
      </c>
    </row>
    <row r="3420" spans="21:23">
      <c r="U3420" s="693">
        <f t="shared" si="53"/>
        <v>43221</v>
      </c>
      <c r="V3420" s="694">
        <v>43231</v>
      </c>
      <c r="W3420" s="696">
        <v>2822.37</v>
      </c>
    </row>
    <row r="3421" spans="21:23">
      <c r="U3421" s="693">
        <f t="shared" si="53"/>
        <v>43221</v>
      </c>
      <c r="V3421" s="694">
        <v>43232</v>
      </c>
      <c r="W3421" s="696">
        <v>2824.05</v>
      </c>
    </row>
    <row r="3422" spans="21:23">
      <c r="U3422" s="693">
        <f t="shared" si="53"/>
        <v>43221</v>
      </c>
      <c r="V3422" s="694">
        <v>43233</v>
      </c>
      <c r="W3422" s="696">
        <v>2824.05</v>
      </c>
    </row>
    <row r="3423" spans="21:23">
      <c r="U3423" s="693">
        <f t="shared" si="53"/>
        <v>43221</v>
      </c>
      <c r="V3423" s="694">
        <v>43234</v>
      </c>
      <c r="W3423" s="696">
        <v>2824.05</v>
      </c>
    </row>
    <row r="3424" spans="21:23">
      <c r="U3424" s="693">
        <f t="shared" si="53"/>
        <v>43221</v>
      </c>
      <c r="V3424" s="694">
        <v>43235</v>
      </c>
      <c r="W3424" s="696">
        <v>2824.05</v>
      </c>
    </row>
    <row r="3425" spans="21:23">
      <c r="U3425" s="693">
        <f t="shared" si="53"/>
        <v>43221</v>
      </c>
      <c r="V3425" s="694">
        <v>43236</v>
      </c>
      <c r="W3425" s="696">
        <v>2889.87</v>
      </c>
    </row>
    <row r="3426" spans="21:23">
      <c r="U3426" s="693">
        <f t="shared" si="53"/>
        <v>43221</v>
      </c>
      <c r="V3426" s="694">
        <v>43237</v>
      </c>
      <c r="W3426" s="696">
        <v>2865.37</v>
      </c>
    </row>
    <row r="3427" spans="21:23">
      <c r="U3427" s="693">
        <f t="shared" si="53"/>
        <v>43221</v>
      </c>
      <c r="V3427" s="694">
        <v>43238</v>
      </c>
      <c r="W3427" s="696">
        <v>2886.23</v>
      </c>
    </row>
    <row r="3428" spans="21:23">
      <c r="U3428" s="693">
        <f t="shared" si="53"/>
        <v>43221</v>
      </c>
      <c r="V3428" s="694">
        <v>43239</v>
      </c>
      <c r="W3428" s="696">
        <v>2925.67</v>
      </c>
    </row>
    <row r="3429" spans="21:23">
      <c r="U3429" s="693">
        <f t="shared" si="53"/>
        <v>43221</v>
      </c>
      <c r="V3429" s="694">
        <v>43240</v>
      </c>
      <c r="W3429" s="696">
        <v>2925.67</v>
      </c>
    </row>
    <row r="3430" spans="21:23">
      <c r="U3430" s="693">
        <f t="shared" si="53"/>
        <v>43221</v>
      </c>
      <c r="V3430" s="694">
        <v>43241</v>
      </c>
      <c r="W3430" s="696">
        <v>2925.67</v>
      </c>
    </row>
    <row r="3431" spans="21:23">
      <c r="U3431" s="693">
        <f t="shared" si="53"/>
        <v>43221</v>
      </c>
      <c r="V3431" s="694">
        <v>43242</v>
      </c>
      <c r="W3431" s="696">
        <v>2897.37</v>
      </c>
    </row>
    <row r="3432" spans="21:23">
      <c r="U3432" s="693">
        <f t="shared" si="53"/>
        <v>43221</v>
      </c>
      <c r="V3432" s="694">
        <v>43243</v>
      </c>
      <c r="W3432" s="696">
        <v>2851.42</v>
      </c>
    </row>
    <row r="3433" spans="21:23">
      <c r="U3433" s="693">
        <f t="shared" si="53"/>
        <v>43221</v>
      </c>
      <c r="V3433" s="694">
        <v>43244</v>
      </c>
      <c r="W3433" s="696">
        <v>2863.24</v>
      </c>
    </row>
    <row r="3434" spans="21:23">
      <c r="U3434" s="693">
        <f t="shared" si="53"/>
        <v>43221</v>
      </c>
      <c r="V3434" s="694">
        <v>43245</v>
      </c>
      <c r="W3434" s="696">
        <v>2863.12</v>
      </c>
    </row>
    <row r="3435" spans="21:23">
      <c r="U3435" s="693">
        <f t="shared" si="53"/>
        <v>43221</v>
      </c>
      <c r="V3435" s="694">
        <v>43246</v>
      </c>
      <c r="W3435" s="696">
        <v>2887.16</v>
      </c>
    </row>
    <row r="3436" spans="21:23">
      <c r="U3436" s="693">
        <f t="shared" si="53"/>
        <v>43221</v>
      </c>
      <c r="V3436" s="694">
        <v>43247</v>
      </c>
      <c r="W3436" s="696">
        <v>2887.16</v>
      </c>
    </row>
    <row r="3437" spans="21:23">
      <c r="U3437" s="693">
        <f t="shared" si="53"/>
        <v>43221</v>
      </c>
      <c r="V3437" s="694">
        <v>43248</v>
      </c>
      <c r="W3437" s="696">
        <v>2887.16</v>
      </c>
    </row>
    <row r="3438" spans="21:23">
      <c r="U3438" s="693">
        <f t="shared" si="53"/>
        <v>43221</v>
      </c>
      <c r="V3438" s="694">
        <v>43249</v>
      </c>
      <c r="W3438" s="696">
        <v>2887.16</v>
      </c>
    </row>
    <row r="3439" spans="21:23">
      <c r="U3439" s="693">
        <f t="shared" si="53"/>
        <v>43221</v>
      </c>
      <c r="V3439" s="694">
        <v>43250</v>
      </c>
      <c r="W3439" s="696">
        <v>2893.82</v>
      </c>
    </row>
    <row r="3440" spans="21:23">
      <c r="U3440" s="693">
        <f t="shared" si="53"/>
        <v>43221</v>
      </c>
      <c r="V3440" s="694">
        <v>43251</v>
      </c>
      <c r="W3440" s="696">
        <v>2879.32</v>
      </c>
    </row>
    <row r="3441" spans="21:23">
      <c r="U3441" s="693">
        <f t="shared" si="53"/>
        <v>43252</v>
      </c>
      <c r="V3441" s="694">
        <v>43252</v>
      </c>
      <c r="W3441" s="696">
        <v>2889.32</v>
      </c>
    </row>
    <row r="3442" spans="21:23">
      <c r="U3442" s="693">
        <f t="shared" si="53"/>
        <v>43252</v>
      </c>
      <c r="V3442" s="694">
        <v>43253</v>
      </c>
      <c r="W3442" s="696">
        <v>2868.22</v>
      </c>
    </row>
    <row r="3443" spans="21:23">
      <c r="U3443" s="693">
        <f t="shared" si="53"/>
        <v>43252</v>
      </c>
      <c r="V3443" s="694">
        <v>43254</v>
      </c>
      <c r="W3443" s="696">
        <v>2868.22</v>
      </c>
    </row>
    <row r="3444" spans="21:23">
      <c r="U3444" s="693">
        <f t="shared" si="53"/>
        <v>43252</v>
      </c>
      <c r="V3444" s="694">
        <v>43255</v>
      </c>
      <c r="W3444" s="696">
        <v>2868.22</v>
      </c>
    </row>
    <row r="3445" spans="21:23">
      <c r="U3445" s="693">
        <f t="shared" si="53"/>
        <v>43252</v>
      </c>
      <c r="V3445" s="694">
        <v>43256</v>
      </c>
      <c r="W3445" s="696">
        <v>2868.22</v>
      </c>
    </row>
    <row r="3446" spans="21:23">
      <c r="U3446" s="693">
        <f t="shared" si="53"/>
        <v>43252</v>
      </c>
      <c r="V3446" s="694">
        <v>43257</v>
      </c>
      <c r="W3446" s="696">
        <v>2865.37</v>
      </c>
    </row>
    <row r="3447" spans="21:23">
      <c r="U3447" s="693">
        <f t="shared" si="53"/>
        <v>43252</v>
      </c>
      <c r="V3447" s="694">
        <v>43258</v>
      </c>
      <c r="W3447" s="696">
        <v>2828.42</v>
      </c>
    </row>
    <row r="3448" spans="21:23">
      <c r="U3448" s="693">
        <f t="shared" si="53"/>
        <v>43252</v>
      </c>
      <c r="V3448" s="694">
        <v>43259</v>
      </c>
      <c r="W3448" s="696">
        <v>2835.78</v>
      </c>
    </row>
    <row r="3449" spans="21:23">
      <c r="U3449" s="693">
        <f t="shared" si="53"/>
        <v>43252</v>
      </c>
      <c r="V3449" s="694">
        <v>43260</v>
      </c>
      <c r="W3449" s="696">
        <v>2855.8</v>
      </c>
    </row>
    <row r="3450" spans="21:23">
      <c r="U3450" s="693">
        <f t="shared" si="53"/>
        <v>43252</v>
      </c>
      <c r="V3450" s="694">
        <v>43261</v>
      </c>
      <c r="W3450" s="696">
        <v>2855.8</v>
      </c>
    </row>
    <row r="3451" spans="21:23">
      <c r="U3451" s="693">
        <f t="shared" si="53"/>
        <v>43252</v>
      </c>
      <c r="V3451" s="694">
        <v>43262</v>
      </c>
      <c r="W3451" s="696">
        <v>2855.8</v>
      </c>
    </row>
    <row r="3452" spans="21:23">
      <c r="U3452" s="693">
        <f t="shared" si="53"/>
        <v>43252</v>
      </c>
      <c r="V3452" s="694">
        <v>43263</v>
      </c>
      <c r="W3452" s="696">
        <v>2855.8</v>
      </c>
    </row>
    <row r="3453" spans="21:23">
      <c r="U3453" s="693">
        <f t="shared" si="53"/>
        <v>43252</v>
      </c>
      <c r="V3453" s="694">
        <v>43264</v>
      </c>
      <c r="W3453" s="696">
        <v>2857.11</v>
      </c>
    </row>
    <row r="3454" spans="21:23">
      <c r="U3454" s="693">
        <f t="shared" si="53"/>
        <v>43252</v>
      </c>
      <c r="V3454" s="694">
        <v>43265</v>
      </c>
      <c r="W3454" s="696">
        <v>2859.17</v>
      </c>
    </row>
    <row r="3455" spans="21:23">
      <c r="U3455" s="693">
        <f t="shared" si="53"/>
        <v>43252</v>
      </c>
      <c r="V3455" s="694">
        <v>43266</v>
      </c>
      <c r="W3455" s="696">
        <v>2859.78</v>
      </c>
    </row>
    <row r="3456" spans="21:23">
      <c r="U3456" s="693">
        <f t="shared" si="53"/>
        <v>43252</v>
      </c>
      <c r="V3456" s="694">
        <v>43267</v>
      </c>
      <c r="W3456" s="696">
        <v>2890.06</v>
      </c>
    </row>
    <row r="3457" spans="21:23">
      <c r="U3457" s="693">
        <f t="shared" si="53"/>
        <v>43252</v>
      </c>
      <c r="V3457" s="694">
        <v>43268</v>
      </c>
      <c r="W3457" s="696">
        <v>2890.06</v>
      </c>
    </row>
    <row r="3458" spans="21:23">
      <c r="U3458" s="693">
        <f t="shared" si="53"/>
        <v>43252</v>
      </c>
      <c r="V3458" s="694">
        <v>43269</v>
      </c>
      <c r="W3458" s="696">
        <v>2890.06</v>
      </c>
    </row>
    <row r="3459" spans="21:23">
      <c r="U3459" s="693">
        <f t="shared" ref="U3459:U3522" si="54">+DATE(YEAR(V3459),MONTH(V3459),1)</f>
        <v>43252</v>
      </c>
      <c r="V3459" s="694">
        <v>43270</v>
      </c>
      <c r="W3459" s="696">
        <v>2919.14</v>
      </c>
    </row>
    <row r="3460" spans="21:23">
      <c r="U3460" s="693">
        <f t="shared" si="54"/>
        <v>43252</v>
      </c>
      <c r="V3460" s="694">
        <v>43271</v>
      </c>
      <c r="W3460" s="696">
        <v>2931.78</v>
      </c>
    </row>
    <row r="3461" spans="21:23">
      <c r="U3461" s="693">
        <f t="shared" si="54"/>
        <v>43252</v>
      </c>
      <c r="V3461" s="694">
        <v>43272</v>
      </c>
      <c r="W3461" s="696">
        <v>2916.49</v>
      </c>
    </row>
    <row r="3462" spans="21:23">
      <c r="U3462" s="693">
        <f t="shared" si="54"/>
        <v>43252</v>
      </c>
      <c r="V3462" s="694">
        <v>43273</v>
      </c>
      <c r="W3462" s="696">
        <v>2944.82</v>
      </c>
    </row>
    <row r="3463" spans="21:23">
      <c r="U3463" s="693">
        <f t="shared" si="54"/>
        <v>43252</v>
      </c>
      <c r="V3463" s="694">
        <v>43274</v>
      </c>
      <c r="W3463" s="696">
        <v>2918.22</v>
      </c>
    </row>
    <row r="3464" spans="21:23">
      <c r="U3464" s="693">
        <f t="shared" si="54"/>
        <v>43252</v>
      </c>
      <c r="V3464" s="694">
        <v>43275</v>
      </c>
      <c r="W3464" s="696">
        <v>2918.22</v>
      </c>
    </row>
    <row r="3465" spans="21:23">
      <c r="U3465" s="693">
        <f t="shared" si="54"/>
        <v>43252</v>
      </c>
      <c r="V3465" s="694">
        <v>43276</v>
      </c>
      <c r="W3465" s="696">
        <v>2918.22</v>
      </c>
    </row>
    <row r="3466" spans="21:23">
      <c r="U3466" s="693">
        <f t="shared" si="54"/>
        <v>43252</v>
      </c>
      <c r="V3466" s="694">
        <v>43277</v>
      </c>
      <c r="W3466" s="696">
        <v>2927.67</v>
      </c>
    </row>
    <row r="3467" spans="21:23">
      <c r="U3467" s="693">
        <f t="shared" si="54"/>
        <v>43252</v>
      </c>
      <c r="V3467" s="694">
        <v>43278</v>
      </c>
      <c r="W3467" s="696">
        <v>2924.1</v>
      </c>
    </row>
    <row r="3468" spans="21:23">
      <c r="U3468" s="693">
        <f t="shared" si="54"/>
        <v>43252</v>
      </c>
      <c r="V3468" s="694">
        <v>43279</v>
      </c>
      <c r="W3468" s="696">
        <v>2934.91</v>
      </c>
    </row>
    <row r="3469" spans="21:23">
      <c r="U3469" s="693">
        <f t="shared" si="54"/>
        <v>43252</v>
      </c>
      <c r="V3469" s="694">
        <v>43280</v>
      </c>
      <c r="W3469" s="696">
        <v>2945.09</v>
      </c>
    </row>
    <row r="3470" spans="21:23">
      <c r="U3470" s="693">
        <f t="shared" si="54"/>
        <v>43252</v>
      </c>
      <c r="V3470" s="694">
        <v>43281</v>
      </c>
      <c r="W3470" s="696">
        <v>2930.8</v>
      </c>
    </row>
    <row r="3471" spans="21:23">
      <c r="U3471" s="693">
        <f t="shared" si="54"/>
        <v>43282</v>
      </c>
      <c r="V3471" s="694">
        <v>43282</v>
      </c>
      <c r="W3471" s="696">
        <v>2930.8</v>
      </c>
    </row>
    <row r="3472" spans="21:23">
      <c r="U3472" s="693">
        <f t="shared" si="54"/>
        <v>43282</v>
      </c>
      <c r="V3472" s="694">
        <v>43283</v>
      </c>
      <c r="W3472" s="696">
        <v>2930.8</v>
      </c>
    </row>
    <row r="3473" spans="21:23">
      <c r="U3473" s="693">
        <f t="shared" si="54"/>
        <v>43282</v>
      </c>
      <c r="V3473" s="694">
        <v>43284</v>
      </c>
      <c r="W3473" s="696">
        <v>2930.8</v>
      </c>
    </row>
    <row r="3474" spans="21:23">
      <c r="U3474" s="693">
        <f t="shared" si="54"/>
        <v>43282</v>
      </c>
      <c r="V3474" s="694">
        <v>43285</v>
      </c>
      <c r="W3474" s="696">
        <v>2909.83</v>
      </c>
    </row>
    <row r="3475" spans="21:23">
      <c r="U3475" s="693">
        <f t="shared" si="54"/>
        <v>43282</v>
      </c>
      <c r="V3475" s="694">
        <v>43286</v>
      </c>
      <c r="W3475" s="696">
        <v>2909.83</v>
      </c>
    </row>
    <row r="3476" spans="21:23">
      <c r="U3476" s="693">
        <f t="shared" si="54"/>
        <v>43282</v>
      </c>
      <c r="V3476" s="694">
        <v>43287</v>
      </c>
      <c r="W3476" s="696">
        <v>2885.53</v>
      </c>
    </row>
    <row r="3477" spans="21:23">
      <c r="U3477" s="693">
        <f t="shared" si="54"/>
        <v>43282</v>
      </c>
      <c r="V3477" s="694">
        <v>43288</v>
      </c>
      <c r="W3477" s="696">
        <v>2867.94</v>
      </c>
    </row>
    <row r="3478" spans="21:23">
      <c r="U3478" s="693">
        <f t="shared" si="54"/>
        <v>43282</v>
      </c>
      <c r="V3478" s="694">
        <v>43289</v>
      </c>
      <c r="W3478" s="696">
        <v>2867.94</v>
      </c>
    </row>
    <row r="3479" spans="21:23">
      <c r="U3479" s="693">
        <f t="shared" si="54"/>
        <v>43282</v>
      </c>
      <c r="V3479" s="694">
        <v>43290</v>
      </c>
      <c r="W3479" s="696">
        <v>2867.94</v>
      </c>
    </row>
    <row r="3480" spans="21:23">
      <c r="U3480" s="693">
        <f t="shared" si="54"/>
        <v>43282</v>
      </c>
      <c r="V3480" s="694">
        <v>43291</v>
      </c>
      <c r="W3480" s="696">
        <v>2881.09</v>
      </c>
    </row>
    <row r="3481" spans="21:23">
      <c r="U3481" s="693">
        <f t="shared" si="54"/>
        <v>43282</v>
      </c>
      <c r="V3481" s="694">
        <v>43292</v>
      </c>
      <c r="W3481" s="696">
        <v>2872.62</v>
      </c>
    </row>
    <row r="3482" spans="21:23">
      <c r="U3482" s="693">
        <f t="shared" si="54"/>
        <v>43282</v>
      </c>
      <c r="V3482" s="694">
        <v>43293</v>
      </c>
      <c r="W3482" s="696">
        <v>2880.1</v>
      </c>
    </row>
    <row r="3483" spans="21:23">
      <c r="U3483" s="693">
        <f t="shared" si="54"/>
        <v>43282</v>
      </c>
      <c r="V3483" s="694">
        <v>43294</v>
      </c>
      <c r="W3483" s="696">
        <v>2882.02</v>
      </c>
    </row>
    <row r="3484" spans="21:23">
      <c r="U3484" s="693">
        <f t="shared" si="54"/>
        <v>43282</v>
      </c>
      <c r="V3484" s="694">
        <v>43295</v>
      </c>
      <c r="W3484" s="696">
        <v>2861.7</v>
      </c>
    </row>
    <row r="3485" spans="21:23">
      <c r="U3485" s="693">
        <f t="shared" si="54"/>
        <v>43282</v>
      </c>
      <c r="V3485" s="694">
        <v>43296</v>
      </c>
      <c r="W3485" s="696">
        <v>2861.7</v>
      </c>
    </row>
    <row r="3486" spans="21:23">
      <c r="U3486" s="693">
        <f t="shared" si="54"/>
        <v>43282</v>
      </c>
      <c r="V3486" s="694">
        <v>43297</v>
      </c>
      <c r="W3486" s="696">
        <v>2861.7</v>
      </c>
    </row>
    <row r="3487" spans="21:23">
      <c r="U3487" s="693">
        <f t="shared" si="54"/>
        <v>43282</v>
      </c>
      <c r="V3487" s="694">
        <v>43298</v>
      </c>
      <c r="W3487" s="696">
        <v>2868.96</v>
      </c>
    </row>
    <row r="3488" spans="21:23">
      <c r="U3488" s="693">
        <f t="shared" si="54"/>
        <v>43282</v>
      </c>
      <c r="V3488" s="694">
        <v>43299</v>
      </c>
      <c r="W3488" s="696">
        <v>2878.28</v>
      </c>
    </row>
    <row r="3489" spans="21:23">
      <c r="U3489" s="693">
        <f t="shared" si="54"/>
        <v>43282</v>
      </c>
      <c r="V3489" s="694">
        <v>43300</v>
      </c>
      <c r="W3489" s="696">
        <v>2876.93</v>
      </c>
    </row>
    <row r="3490" spans="21:23">
      <c r="U3490" s="693">
        <f t="shared" si="54"/>
        <v>43282</v>
      </c>
      <c r="V3490" s="694">
        <v>43301</v>
      </c>
      <c r="W3490" s="696">
        <v>2883.81</v>
      </c>
    </row>
    <row r="3491" spans="21:23">
      <c r="U3491" s="693">
        <f t="shared" si="54"/>
        <v>43282</v>
      </c>
      <c r="V3491" s="694">
        <v>43302</v>
      </c>
      <c r="W3491" s="696">
        <v>2883.81</v>
      </c>
    </row>
    <row r="3492" spans="21:23">
      <c r="U3492" s="693">
        <f t="shared" si="54"/>
        <v>43282</v>
      </c>
      <c r="V3492" s="694">
        <v>43303</v>
      </c>
      <c r="W3492" s="696">
        <v>2883.81</v>
      </c>
    </row>
    <row r="3493" spans="21:23">
      <c r="U3493" s="693">
        <f t="shared" si="54"/>
        <v>43282</v>
      </c>
      <c r="V3493" s="694">
        <v>43304</v>
      </c>
      <c r="W3493" s="696">
        <v>2883.81</v>
      </c>
    </row>
    <row r="3494" spans="21:23">
      <c r="U3494" s="693">
        <f t="shared" si="54"/>
        <v>43282</v>
      </c>
      <c r="V3494" s="694">
        <v>43305</v>
      </c>
      <c r="W3494" s="696">
        <v>2897.73</v>
      </c>
    </row>
    <row r="3495" spans="21:23">
      <c r="U3495" s="693">
        <f t="shared" si="54"/>
        <v>43282</v>
      </c>
      <c r="V3495" s="694">
        <v>43306</v>
      </c>
      <c r="W3495" s="696">
        <v>2898.36</v>
      </c>
    </row>
    <row r="3496" spans="21:23">
      <c r="U3496" s="693">
        <f t="shared" si="54"/>
        <v>43282</v>
      </c>
      <c r="V3496" s="694">
        <v>43307</v>
      </c>
      <c r="W3496" s="696">
        <v>2882.84</v>
      </c>
    </row>
    <row r="3497" spans="21:23">
      <c r="U3497" s="693">
        <f t="shared" si="54"/>
        <v>43282</v>
      </c>
      <c r="V3497" s="694">
        <v>43308</v>
      </c>
      <c r="W3497" s="696">
        <v>2886.21</v>
      </c>
    </row>
    <row r="3498" spans="21:23">
      <c r="U3498" s="693">
        <f t="shared" si="54"/>
        <v>43282</v>
      </c>
      <c r="V3498" s="694">
        <v>43309</v>
      </c>
      <c r="W3498" s="696">
        <v>2880.79</v>
      </c>
    </row>
    <row r="3499" spans="21:23">
      <c r="U3499" s="693">
        <f t="shared" si="54"/>
        <v>43282</v>
      </c>
      <c r="V3499" s="694">
        <v>43310</v>
      </c>
      <c r="W3499" s="696">
        <v>2880.79</v>
      </c>
    </row>
    <row r="3500" spans="21:23">
      <c r="U3500" s="693">
        <f t="shared" si="54"/>
        <v>43282</v>
      </c>
      <c r="V3500" s="694">
        <v>43311</v>
      </c>
      <c r="W3500" s="696">
        <v>2880.79</v>
      </c>
    </row>
    <row r="3501" spans="21:23">
      <c r="U3501" s="693">
        <f t="shared" si="54"/>
        <v>43282</v>
      </c>
      <c r="V3501" s="694">
        <v>43312</v>
      </c>
      <c r="W3501" s="696">
        <v>2875.72</v>
      </c>
    </row>
    <row r="3502" spans="21:23">
      <c r="U3502" s="693">
        <f t="shared" si="54"/>
        <v>43313</v>
      </c>
      <c r="V3502" s="694">
        <v>43313</v>
      </c>
      <c r="W3502" s="696">
        <v>2886.8</v>
      </c>
    </row>
    <row r="3503" spans="21:23">
      <c r="U3503" s="693">
        <f t="shared" si="54"/>
        <v>43313</v>
      </c>
      <c r="V3503" s="694">
        <v>43314</v>
      </c>
      <c r="W3503" s="696">
        <v>2892.62</v>
      </c>
    </row>
    <row r="3504" spans="21:23">
      <c r="U3504" s="693">
        <f t="shared" si="54"/>
        <v>43313</v>
      </c>
      <c r="V3504" s="694">
        <v>43315</v>
      </c>
      <c r="W3504" s="696">
        <v>2904.9</v>
      </c>
    </row>
    <row r="3505" spans="21:23">
      <c r="U3505" s="693">
        <f t="shared" si="54"/>
        <v>43313</v>
      </c>
      <c r="V3505" s="694">
        <v>43316</v>
      </c>
      <c r="W3505" s="696">
        <v>2898.99</v>
      </c>
    </row>
    <row r="3506" spans="21:23">
      <c r="U3506" s="693">
        <f t="shared" si="54"/>
        <v>43313</v>
      </c>
      <c r="V3506" s="694">
        <v>43317</v>
      </c>
      <c r="W3506" s="696">
        <v>2898.99</v>
      </c>
    </row>
    <row r="3507" spans="21:23">
      <c r="U3507" s="693">
        <f t="shared" si="54"/>
        <v>43313</v>
      </c>
      <c r="V3507" s="694">
        <v>43318</v>
      </c>
      <c r="W3507" s="696">
        <v>2898.99</v>
      </c>
    </row>
    <row r="3508" spans="21:23">
      <c r="U3508" s="693">
        <f t="shared" si="54"/>
        <v>43313</v>
      </c>
      <c r="V3508" s="694">
        <v>43319</v>
      </c>
      <c r="W3508" s="696">
        <v>2898.86</v>
      </c>
    </row>
    <row r="3509" spans="21:23">
      <c r="U3509" s="693">
        <f t="shared" si="54"/>
        <v>43313</v>
      </c>
      <c r="V3509" s="694">
        <v>43320</v>
      </c>
      <c r="W3509" s="696">
        <v>2898.86</v>
      </c>
    </row>
    <row r="3510" spans="21:23">
      <c r="U3510" s="693">
        <f t="shared" si="54"/>
        <v>43313</v>
      </c>
      <c r="V3510" s="694">
        <v>43321</v>
      </c>
      <c r="W3510" s="696">
        <v>2908.9</v>
      </c>
    </row>
    <row r="3511" spans="21:23">
      <c r="U3511" s="693">
        <f t="shared" si="54"/>
        <v>43313</v>
      </c>
      <c r="V3511" s="694">
        <v>43322</v>
      </c>
      <c r="W3511" s="696">
        <v>2919.44</v>
      </c>
    </row>
    <row r="3512" spans="21:23">
      <c r="U3512" s="693">
        <f t="shared" si="54"/>
        <v>43313</v>
      </c>
      <c r="V3512" s="694">
        <v>43323</v>
      </c>
      <c r="W3512" s="696">
        <v>2940.95</v>
      </c>
    </row>
    <row r="3513" spans="21:23">
      <c r="U3513" s="693">
        <f t="shared" si="54"/>
        <v>43313</v>
      </c>
      <c r="V3513" s="694">
        <v>43324</v>
      </c>
      <c r="W3513" s="696">
        <v>2940.95</v>
      </c>
    </row>
    <row r="3514" spans="21:23">
      <c r="U3514" s="693">
        <f t="shared" si="54"/>
        <v>43313</v>
      </c>
      <c r="V3514" s="694">
        <v>43325</v>
      </c>
      <c r="W3514" s="696">
        <v>2940.95</v>
      </c>
    </row>
    <row r="3515" spans="21:23">
      <c r="U3515" s="693">
        <f t="shared" si="54"/>
        <v>43313</v>
      </c>
      <c r="V3515" s="694">
        <v>43326</v>
      </c>
      <c r="W3515" s="696">
        <v>2983.93</v>
      </c>
    </row>
    <row r="3516" spans="21:23">
      <c r="U3516" s="693">
        <f t="shared" si="54"/>
        <v>43313</v>
      </c>
      <c r="V3516" s="694">
        <v>43327</v>
      </c>
      <c r="W3516" s="696">
        <v>3002.66</v>
      </c>
    </row>
    <row r="3517" spans="21:23">
      <c r="U3517" s="693">
        <f t="shared" si="54"/>
        <v>43313</v>
      </c>
      <c r="V3517" s="694">
        <v>43328</v>
      </c>
      <c r="W3517" s="696">
        <v>3046.76</v>
      </c>
    </row>
    <row r="3518" spans="21:23">
      <c r="U3518" s="693">
        <f t="shared" si="54"/>
        <v>43313</v>
      </c>
      <c r="V3518" s="694">
        <v>43329</v>
      </c>
      <c r="W3518" s="696">
        <v>3019.55</v>
      </c>
    </row>
    <row r="3519" spans="21:23">
      <c r="U3519" s="693">
        <f t="shared" si="54"/>
        <v>43313</v>
      </c>
      <c r="V3519" s="694">
        <v>43330</v>
      </c>
      <c r="W3519" s="696">
        <v>3024.02</v>
      </c>
    </row>
    <row r="3520" spans="21:23">
      <c r="U3520" s="693">
        <f t="shared" si="54"/>
        <v>43313</v>
      </c>
      <c r="V3520" s="694">
        <v>43331</v>
      </c>
      <c r="W3520" s="696">
        <v>3024.02</v>
      </c>
    </row>
    <row r="3521" spans="21:23">
      <c r="U3521" s="693">
        <f t="shared" si="54"/>
        <v>43313</v>
      </c>
      <c r="V3521" s="694">
        <v>43332</v>
      </c>
      <c r="W3521" s="696">
        <v>3024.02</v>
      </c>
    </row>
    <row r="3522" spans="21:23">
      <c r="U3522" s="693">
        <f t="shared" si="54"/>
        <v>43313</v>
      </c>
      <c r="V3522" s="694">
        <v>43333</v>
      </c>
      <c r="W3522" s="696">
        <v>3024.02</v>
      </c>
    </row>
    <row r="3523" spans="21:23">
      <c r="U3523" s="693">
        <f t="shared" ref="U3523:U3586" si="55">+DATE(YEAR(V3523),MONTH(V3523),1)</f>
        <v>43313</v>
      </c>
      <c r="V3523" s="694">
        <v>43334</v>
      </c>
      <c r="W3523" s="696">
        <v>2990.78</v>
      </c>
    </row>
    <row r="3524" spans="21:23">
      <c r="U3524" s="693">
        <f t="shared" si="55"/>
        <v>43313</v>
      </c>
      <c r="V3524" s="694">
        <v>43335</v>
      </c>
      <c r="W3524" s="696">
        <v>2965.45</v>
      </c>
    </row>
    <row r="3525" spans="21:23">
      <c r="U3525" s="693">
        <f t="shared" si="55"/>
        <v>43313</v>
      </c>
      <c r="V3525" s="694">
        <v>43336</v>
      </c>
      <c r="W3525" s="696">
        <v>2980.64</v>
      </c>
    </row>
    <row r="3526" spans="21:23">
      <c r="U3526" s="693">
        <f t="shared" si="55"/>
        <v>43313</v>
      </c>
      <c r="V3526" s="694">
        <v>43337</v>
      </c>
      <c r="W3526" s="696">
        <v>2958.45</v>
      </c>
    </row>
    <row r="3527" spans="21:23">
      <c r="U3527" s="693">
        <f t="shared" si="55"/>
        <v>43313</v>
      </c>
      <c r="V3527" s="694">
        <v>43338</v>
      </c>
      <c r="W3527" s="696">
        <v>2958.45</v>
      </c>
    </row>
    <row r="3528" spans="21:23">
      <c r="U3528" s="693">
        <f t="shared" si="55"/>
        <v>43313</v>
      </c>
      <c r="V3528" s="694">
        <v>43339</v>
      </c>
      <c r="W3528" s="696">
        <v>2958.45</v>
      </c>
    </row>
    <row r="3529" spans="21:23">
      <c r="U3529" s="693">
        <f t="shared" si="55"/>
        <v>43313</v>
      </c>
      <c r="V3529" s="694">
        <v>43340</v>
      </c>
      <c r="W3529" s="696">
        <v>2934.31</v>
      </c>
    </row>
    <row r="3530" spans="21:23">
      <c r="U3530" s="693">
        <f t="shared" si="55"/>
        <v>43313</v>
      </c>
      <c r="V3530" s="694">
        <v>43341</v>
      </c>
      <c r="W3530" s="696">
        <v>2966</v>
      </c>
    </row>
    <row r="3531" spans="21:23">
      <c r="U3531" s="693">
        <f t="shared" si="55"/>
        <v>43313</v>
      </c>
      <c r="V3531" s="694">
        <v>43342</v>
      </c>
      <c r="W3531" s="696">
        <v>2999.57</v>
      </c>
    </row>
    <row r="3532" spans="21:23">
      <c r="U3532" s="693">
        <f t="shared" si="55"/>
        <v>43313</v>
      </c>
      <c r="V3532" s="694">
        <v>43343</v>
      </c>
      <c r="W3532" s="696">
        <v>3027.39</v>
      </c>
    </row>
    <row r="3533" spans="21:23">
      <c r="U3533" s="693">
        <f t="shared" si="55"/>
        <v>43344</v>
      </c>
      <c r="V3533" s="694">
        <v>43344</v>
      </c>
      <c r="W3533" s="696">
        <v>3053.14</v>
      </c>
    </row>
    <row r="3534" spans="21:23">
      <c r="U3534" s="693">
        <f t="shared" si="55"/>
        <v>43344</v>
      </c>
      <c r="V3534" s="694">
        <v>43345</v>
      </c>
      <c r="W3534" s="696">
        <v>3053.14</v>
      </c>
    </row>
    <row r="3535" spans="21:23">
      <c r="U3535" s="693">
        <f t="shared" si="55"/>
        <v>43344</v>
      </c>
      <c r="V3535" s="694">
        <v>43346</v>
      </c>
      <c r="W3535" s="696">
        <v>3053.14</v>
      </c>
    </row>
    <row r="3536" spans="21:23">
      <c r="U3536" s="693">
        <f t="shared" si="55"/>
        <v>43344</v>
      </c>
      <c r="V3536" s="694">
        <v>43347</v>
      </c>
      <c r="W3536" s="696">
        <v>3053.14</v>
      </c>
    </row>
    <row r="3537" spans="21:23">
      <c r="U3537" s="693">
        <f t="shared" si="55"/>
        <v>43344</v>
      </c>
      <c r="V3537" s="694">
        <v>43348</v>
      </c>
      <c r="W3537" s="696">
        <v>3088.47</v>
      </c>
    </row>
    <row r="3538" spans="21:23">
      <c r="U3538" s="693">
        <f t="shared" si="55"/>
        <v>43344</v>
      </c>
      <c r="V3538" s="694">
        <v>43349</v>
      </c>
      <c r="W3538" s="696">
        <v>3100.37</v>
      </c>
    </row>
    <row r="3539" spans="21:23">
      <c r="U3539" s="693">
        <f t="shared" si="55"/>
        <v>43344</v>
      </c>
      <c r="V3539" s="694">
        <v>43350</v>
      </c>
      <c r="W3539" s="696">
        <v>3089.47</v>
      </c>
    </row>
    <row r="3540" spans="21:23">
      <c r="U3540" s="693">
        <f t="shared" si="55"/>
        <v>43344</v>
      </c>
      <c r="V3540" s="694">
        <v>43351</v>
      </c>
      <c r="W3540" s="696">
        <v>3070.15</v>
      </c>
    </row>
    <row r="3541" spans="21:23">
      <c r="U3541" s="693">
        <f t="shared" si="55"/>
        <v>43344</v>
      </c>
      <c r="V3541" s="694">
        <v>43352</v>
      </c>
      <c r="W3541" s="696">
        <v>3070.15</v>
      </c>
    </row>
    <row r="3542" spans="21:23">
      <c r="U3542" s="693">
        <f t="shared" si="55"/>
        <v>43344</v>
      </c>
      <c r="V3542" s="694">
        <v>43353</v>
      </c>
      <c r="W3542" s="696">
        <v>3070.15</v>
      </c>
    </row>
    <row r="3543" spans="21:23">
      <c r="U3543" s="693">
        <f t="shared" si="55"/>
        <v>43344</v>
      </c>
      <c r="V3543" s="694">
        <v>43354</v>
      </c>
      <c r="W3543" s="696">
        <v>3069.49</v>
      </c>
    </row>
    <row r="3544" spans="21:23">
      <c r="U3544" s="693">
        <f t="shared" si="55"/>
        <v>43344</v>
      </c>
      <c r="V3544" s="694">
        <v>43355</v>
      </c>
      <c r="W3544" s="696">
        <v>3087.73</v>
      </c>
    </row>
    <row r="3545" spans="21:23">
      <c r="U3545" s="693">
        <f t="shared" si="55"/>
        <v>43344</v>
      </c>
      <c r="V3545" s="694">
        <v>43356</v>
      </c>
      <c r="W3545" s="696">
        <v>3055.01</v>
      </c>
    </row>
    <row r="3546" spans="21:23">
      <c r="U3546" s="693">
        <f t="shared" si="55"/>
        <v>43344</v>
      </c>
      <c r="V3546" s="694">
        <v>43357</v>
      </c>
      <c r="W3546" s="696">
        <v>3019.38</v>
      </c>
    </row>
    <row r="3547" spans="21:23">
      <c r="U3547" s="693">
        <f t="shared" si="55"/>
        <v>43344</v>
      </c>
      <c r="V3547" s="694">
        <v>43358</v>
      </c>
      <c r="W3547" s="696">
        <v>3026.05</v>
      </c>
    </row>
    <row r="3548" spans="21:23">
      <c r="U3548" s="693">
        <f t="shared" si="55"/>
        <v>43344</v>
      </c>
      <c r="V3548" s="694">
        <v>43359</v>
      </c>
      <c r="W3548" s="696">
        <v>3026.05</v>
      </c>
    </row>
    <row r="3549" spans="21:23">
      <c r="U3549" s="693">
        <f t="shared" si="55"/>
        <v>43344</v>
      </c>
      <c r="V3549" s="694">
        <v>43360</v>
      </c>
      <c r="W3549" s="696">
        <v>3026.05</v>
      </c>
    </row>
    <row r="3550" spans="21:23">
      <c r="U3550" s="693">
        <f t="shared" si="55"/>
        <v>43344</v>
      </c>
      <c r="V3550" s="694">
        <v>43361</v>
      </c>
      <c r="W3550" s="696">
        <v>3013.38</v>
      </c>
    </row>
    <row r="3551" spans="21:23">
      <c r="U3551" s="693">
        <f t="shared" si="55"/>
        <v>43344</v>
      </c>
      <c r="V3551" s="694">
        <v>43362</v>
      </c>
      <c r="W3551" s="696">
        <v>3007.03</v>
      </c>
    </row>
    <row r="3552" spans="21:23">
      <c r="U3552" s="693">
        <f t="shared" si="55"/>
        <v>43344</v>
      </c>
      <c r="V3552" s="694">
        <v>43363</v>
      </c>
      <c r="W3552" s="696">
        <v>3018.63</v>
      </c>
    </row>
    <row r="3553" spans="21:23">
      <c r="U3553" s="693">
        <f t="shared" si="55"/>
        <v>43344</v>
      </c>
      <c r="V3553" s="694">
        <v>43364</v>
      </c>
      <c r="W3553" s="696">
        <v>3014.18</v>
      </c>
    </row>
    <row r="3554" spans="21:23">
      <c r="U3554" s="693">
        <f t="shared" si="55"/>
        <v>43344</v>
      </c>
      <c r="V3554" s="694">
        <v>43365</v>
      </c>
      <c r="W3554" s="696">
        <v>3006.96</v>
      </c>
    </row>
    <row r="3555" spans="21:23">
      <c r="U3555" s="693">
        <f t="shared" si="55"/>
        <v>43344</v>
      </c>
      <c r="V3555" s="694">
        <v>43366</v>
      </c>
      <c r="W3555" s="696">
        <v>3006.96</v>
      </c>
    </row>
    <row r="3556" spans="21:23">
      <c r="U3556" s="693">
        <f t="shared" si="55"/>
        <v>43344</v>
      </c>
      <c r="V3556" s="694">
        <v>43367</v>
      </c>
      <c r="W3556" s="696">
        <v>3006.96</v>
      </c>
    </row>
    <row r="3557" spans="21:23">
      <c r="U3557" s="693">
        <f t="shared" si="55"/>
        <v>43344</v>
      </c>
      <c r="V3557" s="694">
        <v>43368</v>
      </c>
      <c r="W3557" s="696">
        <v>2991.9</v>
      </c>
    </row>
    <row r="3558" spans="21:23">
      <c r="U3558" s="693">
        <f t="shared" si="55"/>
        <v>43344</v>
      </c>
      <c r="V3558" s="694">
        <v>43369</v>
      </c>
      <c r="W3558" s="696">
        <v>3001.88</v>
      </c>
    </row>
    <row r="3559" spans="21:23">
      <c r="U3559" s="693">
        <f t="shared" si="55"/>
        <v>43344</v>
      </c>
      <c r="V3559" s="694">
        <v>43370</v>
      </c>
      <c r="W3559" s="696">
        <v>3000.14</v>
      </c>
    </row>
    <row r="3560" spans="21:23">
      <c r="U3560" s="693">
        <f t="shared" si="55"/>
        <v>43344</v>
      </c>
      <c r="V3560" s="694">
        <v>43371</v>
      </c>
      <c r="W3560" s="696">
        <v>2989.58</v>
      </c>
    </row>
    <row r="3561" spans="21:23">
      <c r="U3561" s="693">
        <f t="shared" si="55"/>
        <v>43344</v>
      </c>
      <c r="V3561" s="694">
        <v>43372</v>
      </c>
      <c r="W3561" s="696">
        <v>2972.18</v>
      </c>
    </row>
    <row r="3562" spans="21:23">
      <c r="U3562" s="693">
        <f t="shared" si="55"/>
        <v>43344</v>
      </c>
      <c r="V3562" s="694">
        <v>43373</v>
      </c>
      <c r="W3562" s="696">
        <v>2972.18</v>
      </c>
    </row>
    <row r="3563" spans="21:23">
      <c r="U3563" s="693">
        <f t="shared" si="55"/>
        <v>43374</v>
      </c>
      <c r="V3563" s="694">
        <v>43374</v>
      </c>
      <c r="W3563" s="696">
        <v>2972.18</v>
      </c>
    </row>
    <row r="3564" spans="21:23">
      <c r="U3564" s="693">
        <f t="shared" si="55"/>
        <v>43374</v>
      </c>
      <c r="V3564" s="694">
        <v>43375</v>
      </c>
      <c r="W3564" s="696">
        <v>2993.74</v>
      </c>
    </row>
    <row r="3565" spans="21:23">
      <c r="U3565" s="693">
        <f t="shared" si="55"/>
        <v>43374</v>
      </c>
      <c r="V3565" s="694">
        <v>43376</v>
      </c>
      <c r="W3565" s="696">
        <v>3005.5</v>
      </c>
    </row>
    <row r="3566" spans="21:23">
      <c r="U3566" s="693">
        <f t="shared" si="55"/>
        <v>43374</v>
      </c>
      <c r="V3566" s="694">
        <v>43377</v>
      </c>
      <c r="W3566" s="696">
        <v>3012.65</v>
      </c>
    </row>
    <row r="3567" spans="21:23">
      <c r="U3567" s="693">
        <f t="shared" si="55"/>
        <v>43374</v>
      </c>
      <c r="V3567" s="694">
        <v>43378</v>
      </c>
      <c r="W3567" s="696">
        <v>3028.16</v>
      </c>
    </row>
    <row r="3568" spans="21:23">
      <c r="U3568" s="693">
        <f t="shared" si="55"/>
        <v>43374</v>
      </c>
      <c r="V3568" s="694">
        <v>43379</v>
      </c>
      <c r="W3568" s="696">
        <v>3031.31</v>
      </c>
    </row>
    <row r="3569" spans="21:23">
      <c r="U3569" s="693">
        <f t="shared" si="55"/>
        <v>43374</v>
      </c>
      <c r="V3569" s="694">
        <v>43380</v>
      </c>
      <c r="W3569" s="696">
        <v>3031.31</v>
      </c>
    </row>
    <row r="3570" spans="21:23">
      <c r="U3570" s="693">
        <f t="shared" si="55"/>
        <v>43374</v>
      </c>
      <c r="V3570" s="694">
        <v>43381</v>
      </c>
      <c r="W3570" s="696">
        <v>3031.31</v>
      </c>
    </row>
    <row r="3571" spans="21:23">
      <c r="U3571" s="693">
        <f t="shared" si="55"/>
        <v>43374</v>
      </c>
      <c r="V3571" s="694">
        <v>43382</v>
      </c>
      <c r="W3571" s="696">
        <v>3031.31</v>
      </c>
    </row>
    <row r="3572" spans="21:23">
      <c r="U3572" s="693">
        <f t="shared" si="55"/>
        <v>43374</v>
      </c>
      <c r="V3572" s="694">
        <v>43383</v>
      </c>
      <c r="W3572" s="696">
        <v>3057.55</v>
      </c>
    </row>
    <row r="3573" spans="21:23">
      <c r="U3573" s="693">
        <f t="shared" si="55"/>
        <v>43374</v>
      </c>
      <c r="V3573" s="694">
        <v>43384</v>
      </c>
      <c r="W3573" s="696">
        <v>3090.3</v>
      </c>
    </row>
    <row r="3574" spans="21:23">
      <c r="U3574" s="693">
        <f t="shared" si="55"/>
        <v>43374</v>
      </c>
      <c r="V3574" s="694">
        <v>43385</v>
      </c>
      <c r="W3574" s="696">
        <v>3087.34</v>
      </c>
    </row>
    <row r="3575" spans="21:23">
      <c r="U3575" s="693">
        <f t="shared" si="55"/>
        <v>43374</v>
      </c>
      <c r="V3575" s="694">
        <v>43386</v>
      </c>
      <c r="W3575" s="696">
        <v>3088.78</v>
      </c>
    </row>
    <row r="3576" spans="21:23">
      <c r="U3576" s="693">
        <f t="shared" si="55"/>
        <v>43374</v>
      </c>
      <c r="V3576" s="694">
        <v>43387</v>
      </c>
      <c r="W3576" s="696">
        <v>3088.78</v>
      </c>
    </row>
    <row r="3577" spans="21:23">
      <c r="U3577" s="693">
        <f t="shared" si="55"/>
        <v>43374</v>
      </c>
      <c r="V3577" s="694">
        <v>43388</v>
      </c>
      <c r="W3577" s="696">
        <v>3088.78</v>
      </c>
    </row>
    <row r="3578" spans="21:23">
      <c r="U3578" s="693">
        <f t="shared" si="55"/>
        <v>43374</v>
      </c>
      <c r="V3578" s="694">
        <v>43389</v>
      </c>
      <c r="W3578" s="696">
        <v>3088.78</v>
      </c>
    </row>
    <row r="3579" spans="21:23">
      <c r="U3579" s="693">
        <f t="shared" si="55"/>
        <v>43374</v>
      </c>
      <c r="V3579" s="694">
        <v>43390</v>
      </c>
      <c r="W3579" s="696">
        <v>3055.93</v>
      </c>
    </row>
    <row r="3580" spans="21:23">
      <c r="U3580" s="693">
        <f t="shared" si="55"/>
        <v>43374</v>
      </c>
      <c r="V3580" s="694">
        <v>43391</v>
      </c>
      <c r="W3580" s="696">
        <v>3056.37</v>
      </c>
    </row>
    <row r="3581" spans="21:23">
      <c r="U3581" s="693">
        <f t="shared" si="55"/>
        <v>43374</v>
      </c>
      <c r="V3581" s="694">
        <v>43392</v>
      </c>
      <c r="W3581" s="696">
        <v>3088.47</v>
      </c>
    </row>
    <row r="3582" spans="21:23">
      <c r="U3582" s="693">
        <f t="shared" si="55"/>
        <v>43374</v>
      </c>
      <c r="V3582" s="694">
        <v>43393</v>
      </c>
      <c r="W3582" s="696">
        <v>3079.88</v>
      </c>
    </row>
    <row r="3583" spans="21:23">
      <c r="U3583" s="693">
        <f t="shared" si="55"/>
        <v>43374</v>
      </c>
      <c r="V3583" s="694">
        <v>43394</v>
      </c>
      <c r="W3583" s="696">
        <v>3079.88</v>
      </c>
    </row>
    <row r="3584" spans="21:23">
      <c r="U3584" s="693">
        <f t="shared" si="55"/>
        <v>43374</v>
      </c>
      <c r="V3584" s="694">
        <v>43395</v>
      </c>
      <c r="W3584" s="696">
        <v>3079.88</v>
      </c>
    </row>
    <row r="3585" spans="21:23">
      <c r="U3585" s="693">
        <f t="shared" si="55"/>
        <v>43374</v>
      </c>
      <c r="V3585" s="694">
        <v>43396</v>
      </c>
      <c r="W3585" s="696">
        <v>3087.58</v>
      </c>
    </row>
    <row r="3586" spans="21:23">
      <c r="U3586" s="693">
        <f t="shared" si="55"/>
        <v>43374</v>
      </c>
      <c r="V3586" s="694">
        <v>43397</v>
      </c>
      <c r="W3586" s="696">
        <v>3110.2</v>
      </c>
    </row>
    <row r="3587" spans="21:23">
      <c r="U3587" s="693">
        <f t="shared" ref="U3587:U3650" si="56">+DATE(YEAR(V3587),MONTH(V3587),1)</f>
        <v>43374</v>
      </c>
      <c r="V3587" s="694">
        <v>43398</v>
      </c>
      <c r="W3587" s="696">
        <v>3149.7</v>
      </c>
    </row>
    <row r="3588" spans="21:23">
      <c r="U3588" s="693">
        <f t="shared" si="56"/>
        <v>43374</v>
      </c>
      <c r="V3588" s="694">
        <v>43399</v>
      </c>
      <c r="W3588" s="696">
        <v>3167.18</v>
      </c>
    </row>
    <row r="3589" spans="21:23">
      <c r="U3589" s="693">
        <f t="shared" si="56"/>
        <v>43374</v>
      </c>
      <c r="V3589" s="694">
        <v>43400</v>
      </c>
      <c r="W3589" s="696">
        <v>3185.26</v>
      </c>
    </row>
    <row r="3590" spans="21:23">
      <c r="U3590" s="693">
        <f t="shared" si="56"/>
        <v>43374</v>
      </c>
      <c r="V3590" s="694">
        <v>43401</v>
      </c>
      <c r="W3590" s="696">
        <v>3185.26</v>
      </c>
    </row>
    <row r="3591" spans="21:23">
      <c r="U3591" s="693">
        <f t="shared" si="56"/>
        <v>43374</v>
      </c>
      <c r="V3591" s="694">
        <v>43402</v>
      </c>
      <c r="W3591" s="696">
        <v>3185.26</v>
      </c>
    </row>
    <row r="3592" spans="21:23">
      <c r="U3592" s="693">
        <f t="shared" si="56"/>
        <v>43374</v>
      </c>
      <c r="V3592" s="694">
        <v>43403</v>
      </c>
      <c r="W3592" s="696">
        <v>3188.69</v>
      </c>
    </row>
    <row r="3593" spans="21:23">
      <c r="U3593" s="693">
        <f t="shared" si="56"/>
        <v>43374</v>
      </c>
      <c r="V3593" s="694">
        <v>43404</v>
      </c>
      <c r="W3593" s="696">
        <v>3202.44</v>
      </c>
    </row>
    <row r="3594" spans="21:23">
      <c r="U3594" s="693">
        <f t="shared" si="56"/>
        <v>43405</v>
      </c>
      <c r="V3594" s="694">
        <v>43405</v>
      </c>
      <c r="W3594" s="696">
        <v>3219.85</v>
      </c>
    </row>
    <row r="3595" spans="21:23">
      <c r="U3595" s="693">
        <f t="shared" si="56"/>
        <v>43405</v>
      </c>
      <c r="V3595" s="694">
        <v>43406</v>
      </c>
      <c r="W3595" s="696">
        <v>3193.8</v>
      </c>
    </row>
    <row r="3596" spans="21:23">
      <c r="U3596" s="693">
        <f t="shared" si="56"/>
        <v>43405</v>
      </c>
      <c r="V3596" s="694">
        <v>43407</v>
      </c>
      <c r="W3596" s="696">
        <v>3177.57</v>
      </c>
    </row>
    <row r="3597" spans="21:23">
      <c r="U3597" s="693">
        <f t="shared" si="56"/>
        <v>43405</v>
      </c>
      <c r="V3597" s="694">
        <v>43408</v>
      </c>
      <c r="W3597" s="696">
        <v>3177.57</v>
      </c>
    </row>
    <row r="3598" spans="21:23">
      <c r="U3598" s="693">
        <f t="shared" si="56"/>
        <v>43405</v>
      </c>
      <c r="V3598" s="694">
        <v>43409</v>
      </c>
      <c r="W3598" s="696">
        <v>3177.57</v>
      </c>
    </row>
    <row r="3599" spans="21:23">
      <c r="U3599" s="693">
        <f t="shared" si="56"/>
        <v>43405</v>
      </c>
      <c r="V3599" s="694">
        <v>43410</v>
      </c>
      <c r="W3599" s="696">
        <v>3177.57</v>
      </c>
    </row>
    <row r="3600" spans="21:23">
      <c r="U3600" s="693">
        <f t="shared" si="56"/>
        <v>43405</v>
      </c>
      <c r="V3600" s="694">
        <v>43411</v>
      </c>
      <c r="W3600" s="696">
        <v>3154.55</v>
      </c>
    </row>
    <row r="3601" spans="21:23">
      <c r="U3601" s="693">
        <f t="shared" si="56"/>
        <v>43405</v>
      </c>
      <c r="V3601" s="694">
        <v>43412</v>
      </c>
      <c r="W3601" s="696">
        <v>3140.25</v>
      </c>
    </row>
    <row r="3602" spans="21:23">
      <c r="U3602" s="693">
        <f t="shared" si="56"/>
        <v>43405</v>
      </c>
      <c r="V3602" s="694">
        <v>43413</v>
      </c>
      <c r="W3602" s="696">
        <v>3145.39</v>
      </c>
    </row>
    <row r="3603" spans="21:23">
      <c r="U3603" s="693">
        <f t="shared" si="56"/>
        <v>43405</v>
      </c>
      <c r="V3603" s="694">
        <v>43414</v>
      </c>
      <c r="W3603" s="696">
        <v>3176.89</v>
      </c>
    </row>
    <row r="3604" spans="21:23">
      <c r="U3604" s="693">
        <f t="shared" si="56"/>
        <v>43405</v>
      </c>
      <c r="V3604" s="694">
        <v>43415</v>
      </c>
      <c r="W3604" s="696">
        <v>3176.89</v>
      </c>
    </row>
    <row r="3605" spans="21:23">
      <c r="U3605" s="693">
        <f t="shared" si="56"/>
        <v>43405</v>
      </c>
      <c r="V3605" s="694">
        <v>43416</v>
      </c>
      <c r="W3605" s="696">
        <v>3176.89</v>
      </c>
    </row>
    <row r="3606" spans="21:23">
      <c r="U3606" s="693">
        <f t="shared" si="56"/>
        <v>43405</v>
      </c>
      <c r="V3606" s="694">
        <v>43417</v>
      </c>
      <c r="W3606" s="696">
        <v>3176.89</v>
      </c>
    </row>
    <row r="3607" spans="21:23">
      <c r="U3607" s="693">
        <f t="shared" si="56"/>
        <v>43405</v>
      </c>
      <c r="V3607" s="694">
        <v>43418</v>
      </c>
      <c r="W3607" s="696">
        <v>3197.2</v>
      </c>
    </row>
    <row r="3608" spans="21:23">
      <c r="U3608" s="693">
        <f t="shared" si="56"/>
        <v>43405</v>
      </c>
      <c r="V3608" s="694">
        <v>43419</v>
      </c>
      <c r="W3608" s="696">
        <v>3194.7</v>
      </c>
    </row>
    <row r="3609" spans="21:23">
      <c r="U3609" s="693">
        <f t="shared" si="56"/>
        <v>43405</v>
      </c>
      <c r="V3609" s="694">
        <v>43420</v>
      </c>
      <c r="W3609" s="696">
        <v>3198.29</v>
      </c>
    </row>
    <row r="3610" spans="21:23">
      <c r="U3610" s="693">
        <f t="shared" si="56"/>
        <v>43405</v>
      </c>
      <c r="V3610" s="694">
        <v>43421</v>
      </c>
      <c r="W3610" s="696">
        <v>3173.59</v>
      </c>
    </row>
    <row r="3611" spans="21:23">
      <c r="U3611" s="693">
        <f t="shared" si="56"/>
        <v>43405</v>
      </c>
      <c r="V3611" s="694">
        <v>43422</v>
      </c>
      <c r="W3611" s="696">
        <v>3173.59</v>
      </c>
    </row>
    <row r="3612" spans="21:23">
      <c r="U3612" s="693">
        <f t="shared" si="56"/>
        <v>43405</v>
      </c>
      <c r="V3612" s="694">
        <v>43423</v>
      </c>
      <c r="W3612" s="696">
        <v>3173.59</v>
      </c>
    </row>
    <row r="3613" spans="21:23">
      <c r="U3613" s="693">
        <f t="shared" si="56"/>
        <v>43405</v>
      </c>
      <c r="V3613" s="694">
        <v>43424</v>
      </c>
      <c r="W3613" s="696">
        <v>3178.81</v>
      </c>
    </row>
    <row r="3614" spans="21:23">
      <c r="U3614" s="693">
        <f t="shared" si="56"/>
        <v>43405</v>
      </c>
      <c r="V3614" s="694">
        <v>43425</v>
      </c>
      <c r="W3614" s="696">
        <v>3189.51</v>
      </c>
    </row>
    <row r="3615" spans="21:23">
      <c r="U3615" s="693">
        <f t="shared" si="56"/>
        <v>43405</v>
      </c>
      <c r="V3615" s="694">
        <v>43426</v>
      </c>
      <c r="W3615" s="696">
        <v>3196.26</v>
      </c>
    </row>
    <row r="3616" spans="21:23">
      <c r="U3616" s="693">
        <f t="shared" si="56"/>
        <v>43405</v>
      </c>
      <c r="V3616" s="694">
        <v>43427</v>
      </c>
      <c r="W3616" s="696">
        <v>3196.26</v>
      </c>
    </row>
    <row r="3617" spans="21:23">
      <c r="U3617" s="693">
        <f t="shared" si="56"/>
        <v>43405</v>
      </c>
      <c r="V3617" s="694">
        <v>43428</v>
      </c>
      <c r="W3617" s="696">
        <v>3223.95</v>
      </c>
    </row>
    <row r="3618" spans="21:23">
      <c r="U3618" s="693">
        <f t="shared" si="56"/>
        <v>43405</v>
      </c>
      <c r="V3618" s="694">
        <v>43429</v>
      </c>
      <c r="W3618" s="696">
        <v>3223.95</v>
      </c>
    </row>
    <row r="3619" spans="21:23">
      <c r="U3619" s="693">
        <f t="shared" si="56"/>
        <v>43405</v>
      </c>
      <c r="V3619" s="694">
        <v>43430</v>
      </c>
      <c r="W3619" s="696">
        <v>3223.95</v>
      </c>
    </row>
    <row r="3620" spans="21:23">
      <c r="U3620" s="693">
        <f t="shared" si="56"/>
        <v>43405</v>
      </c>
      <c r="V3620" s="694">
        <v>43431</v>
      </c>
      <c r="W3620" s="696">
        <v>3240.65</v>
      </c>
    </row>
    <row r="3621" spans="21:23">
      <c r="U3621" s="693">
        <f t="shared" si="56"/>
        <v>43405</v>
      </c>
      <c r="V3621" s="694">
        <v>43432</v>
      </c>
      <c r="W3621" s="696">
        <v>3250.56</v>
      </c>
    </row>
    <row r="3622" spans="21:23">
      <c r="U3622" s="693">
        <f t="shared" si="56"/>
        <v>43405</v>
      </c>
      <c r="V3622" s="694">
        <v>43433</v>
      </c>
      <c r="W3622" s="696">
        <v>3274.47</v>
      </c>
    </row>
    <row r="3623" spans="21:23">
      <c r="U3623" s="693">
        <f t="shared" si="56"/>
        <v>43405</v>
      </c>
      <c r="V3623" s="694">
        <v>43434</v>
      </c>
      <c r="W3623" s="696">
        <v>3240.02</v>
      </c>
    </row>
    <row r="3624" spans="21:23">
      <c r="U3624" s="693">
        <f t="shared" si="56"/>
        <v>43435</v>
      </c>
      <c r="V3624" s="694">
        <v>43435</v>
      </c>
      <c r="W3624" s="696">
        <v>3235.27</v>
      </c>
    </row>
    <row r="3625" spans="21:23">
      <c r="U3625" s="693">
        <f t="shared" si="56"/>
        <v>43435</v>
      </c>
      <c r="V3625" s="694">
        <v>43436</v>
      </c>
      <c r="W3625" s="696">
        <v>3235.27</v>
      </c>
    </row>
    <row r="3626" spans="21:23">
      <c r="U3626" s="693">
        <f t="shared" si="56"/>
        <v>43435</v>
      </c>
      <c r="V3626" s="694">
        <v>43437</v>
      </c>
      <c r="W3626" s="696">
        <v>3235.27</v>
      </c>
    </row>
    <row r="3627" spans="21:23">
      <c r="U3627" s="693">
        <f t="shared" si="56"/>
        <v>43435</v>
      </c>
      <c r="V3627" s="694">
        <v>43438</v>
      </c>
      <c r="W3627" s="696">
        <v>3196.15</v>
      </c>
    </row>
    <row r="3628" spans="21:23">
      <c r="U3628" s="693">
        <f t="shared" si="56"/>
        <v>43435</v>
      </c>
      <c r="V3628" s="694">
        <v>43439</v>
      </c>
      <c r="W3628" s="696">
        <v>3174.11</v>
      </c>
    </row>
    <row r="3629" spans="21:23">
      <c r="U3629" s="693">
        <f t="shared" si="56"/>
        <v>43435</v>
      </c>
      <c r="V3629" s="694">
        <v>43440</v>
      </c>
      <c r="W3629" s="696">
        <v>3162.29</v>
      </c>
    </row>
    <row r="3630" spans="21:23">
      <c r="U3630" s="693">
        <f t="shared" si="56"/>
        <v>43435</v>
      </c>
      <c r="V3630" s="694">
        <v>43441</v>
      </c>
      <c r="W3630" s="696">
        <v>3187.86</v>
      </c>
    </row>
    <row r="3631" spans="21:23">
      <c r="U3631" s="693">
        <f t="shared" si="56"/>
        <v>43435</v>
      </c>
      <c r="V3631" s="694">
        <v>43442</v>
      </c>
      <c r="W3631" s="696">
        <v>3153.29</v>
      </c>
    </row>
    <row r="3632" spans="21:23">
      <c r="U3632" s="693">
        <f t="shared" si="56"/>
        <v>43435</v>
      </c>
      <c r="V3632" s="694">
        <v>43443</v>
      </c>
      <c r="W3632" s="696">
        <v>3153.29</v>
      </c>
    </row>
    <row r="3633" spans="21:23">
      <c r="U3633" s="693">
        <f t="shared" si="56"/>
        <v>43435</v>
      </c>
      <c r="V3633" s="694">
        <v>43444</v>
      </c>
      <c r="W3633" s="696">
        <v>3153.29</v>
      </c>
    </row>
    <row r="3634" spans="21:23">
      <c r="U3634" s="693">
        <f t="shared" si="56"/>
        <v>43435</v>
      </c>
      <c r="V3634" s="694">
        <v>43445</v>
      </c>
      <c r="W3634" s="696">
        <v>3176.12</v>
      </c>
    </row>
    <row r="3635" spans="21:23">
      <c r="U3635" s="693">
        <f t="shared" si="56"/>
        <v>43435</v>
      </c>
      <c r="V3635" s="694">
        <v>43446</v>
      </c>
      <c r="W3635" s="696">
        <v>3184.7</v>
      </c>
    </row>
    <row r="3636" spans="21:23">
      <c r="U3636" s="693">
        <f t="shared" si="56"/>
        <v>43435</v>
      </c>
      <c r="V3636" s="694">
        <v>43447</v>
      </c>
      <c r="W3636" s="696">
        <v>3169.36</v>
      </c>
    </row>
    <row r="3637" spans="21:23">
      <c r="U3637" s="693">
        <f t="shared" si="56"/>
        <v>43435</v>
      </c>
      <c r="V3637" s="694">
        <v>43448</v>
      </c>
      <c r="W3637" s="696">
        <v>3178.4</v>
      </c>
    </row>
    <row r="3638" spans="21:23">
      <c r="U3638" s="693">
        <f t="shared" si="56"/>
        <v>43435</v>
      </c>
      <c r="V3638" s="694">
        <v>43449</v>
      </c>
      <c r="W3638" s="696">
        <v>3196.3</v>
      </c>
    </row>
    <row r="3639" spans="21:23">
      <c r="U3639" s="693">
        <f t="shared" si="56"/>
        <v>43435</v>
      </c>
      <c r="V3639" s="694">
        <v>43450</v>
      </c>
      <c r="W3639" s="696">
        <v>3196.3</v>
      </c>
    </row>
    <row r="3640" spans="21:23">
      <c r="U3640" s="693">
        <f t="shared" si="56"/>
        <v>43435</v>
      </c>
      <c r="V3640" s="694">
        <v>43451</v>
      </c>
      <c r="W3640" s="696">
        <v>3196.3</v>
      </c>
    </row>
    <row r="3641" spans="21:23">
      <c r="U3641" s="693">
        <f t="shared" si="56"/>
        <v>43435</v>
      </c>
      <c r="V3641" s="694">
        <v>43452</v>
      </c>
      <c r="W3641" s="696">
        <v>3188.66</v>
      </c>
    </row>
    <row r="3642" spans="21:23">
      <c r="U3642" s="693">
        <f t="shared" si="56"/>
        <v>43435</v>
      </c>
      <c r="V3642" s="694">
        <v>43453</v>
      </c>
      <c r="W3642" s="696">
        <v>3198.45</v>
      </c>
    </row>
    <row r="3643" spans="21:23">
      <c r="U3643" s="693">
        <f t="shared" si="56"/>
        <v>43435</v>
      </c>
      <c r="V3643" s="694">
        <v>43454</v>
      </c>
      <c r="W3643" s="696">
        <v>3216.55</v>
      </c>
    </row>
    <row r="3644" spans="21:23">
      <c r="U3644" s="693">
        <f t="shared" si="56"/>
        <v>43435</v>
      </c>
      <c r="V3644" s="694">
        <v>43455</v>
      </c>
      <c r="W3644" s="696">
        <v>3246.86</v>
      </c>
    </row>
    <row r="3645" spans="21:23">
      <c r="U3645" s="693">
        <f t="shared" si="56"/>
        <v>43435</v>
      </c>
      <c r="V3645" s="694">
        <v>43456</v>
      </c>
      <c r="W3645" s="696">
        <v>3285.34</v>
      </c>
    </row>
    <row r="3646" spans="21:23">
      <c r="U3646" s="693">
        <f t="shared" si="56"/>
        <v>43435</v>
      </c>
      <c r="V3646" s="694">
        <v>43457</v>
      </c>
      <c r="W3646" s="696">
        <v>3285.34</v>
      </c>
    </row>
    <row r="3647" spans="21:23">
      <c r="U3647" s="693">
        <f t="shared" si="56"/>
        <v>43435</v>
      </c>
      <c r="V3647" s="694">
        <v>43458</v>
      </c>
      <c r="W3647" s="696">
        <v>3285.34</v>
      </c>
    </row>
    <row r="3648" spans="21:23">
      <c r="U3648" s="693">
        <f t="shared" si="56"/>
        <v>43435</v>
      </c>
      <c r="V3648" s="694">
        <v>43459</v>
      </c>
      <c r="W3648" s="696">
        <v>3285.51</v>
      </c>
    </row>
    <row r="3649" spans="21:23">
      <c r="U3649" s="693">
        <f t="shared" si="56"/>
        <v>43435</v>
      </c>
      <c r="V3649" s="694">
        <v>43460</v>
      </c>
      <c r="W3649" s="696">
        <v>3285.51</v>
      </c>
    </row>
    <row r="3650" spans="21:23">
      <c r="U3650" s="693">
        <f t="shared" si="56"/>
        <v>43435</v>
      </c>
      <c r="V3650" s="694">
        <v>43461</v>
      </c>
      <c r="W3650" s="696">
        <v>3289.69</v>
      </c>
    </row>
    <row r="3651" spans="21:23">
      <c r="U3651" s="693">
        <f t="shared" ref="U3651:U3714" si="57">+DATE(YEAR(V3651),MONTH(V3651),1)</f>
        <v>43435</v>
      </c>
      <c r="V3651" s="694">
        <v>43462</v>
      </c>
      <c r="W3651" s="696">
        <v>3275.01</v>
      </c>
    </row>
    <row r="3652" spans="21:23">
      <c r="U3652" s="693">
        <f t="shared" si="57"/>
        <v>43435</v>
      </c>
      <c r="V3652" s="694">
        <v>43463</v>
      </c>
      <c r="W3652" s="696">
        <v>3249.75</v>
      </c>
    </row>
    <row r="3653" spans="21:23">
      <c r="U3653" s="693">
        <f t="shared" si="57"/>
        <v>43435</v>
      </c>
      <c r="V3653" s="694">
        <v>43464</v>
      </c>
      <c r="W3653" s="696">
        <v>3249.75</v>
      </c>
    </row>
    <row r="3654" spans="21:23">
      <c r="U3654" s="693">
        <f t="shared" si="57"/>
        <v>43435</v>
      </c>
      <c r="V3654" s="694">
        <v>43465</v>
      </c>
      <c r="W3654" s="696">
        <v>3249.75</v>
      </c>
    </row>
    <row r="3655" spans="21:23">
      <c r="U3655" s="693">
        <f t="shared" si="57"/>
        <v>43466</v>
      </c>
      <c r="V3655" s="694">
        <v>43466</v>
      </c>
      <c r="W3655" s="696">
        <v>3249.75</v>
      </c>
    </row>
    <row r="3656" spans="21:23">
      <c r="U3656" s="693">
        <f t="shared" si="57"/>
        <v>43466</v>
      </c>
      <c r="V3656" s="694">
        <v>43467</v>
      </c>
      <c r="W3656" s="696">
        <v>3249.75</v>
      </c>
    </row>
    <row r="3657" spans="21:23">
      <c r="U3657" s="693">
        <f t="shared" si="57"/>
        <v>43466</v>
      </c>
      <c r="V3657" s="694">
        <v>43468</v>
      </c>
      <c r="W3657" s="696">
        <v>3250.01</v>
      </c>
    </row>
    <row r="3658" spans="21:23">
      <c r="U3658" s="693">
        <f t="shared" si="57"/>
        <v>43466</v>
      </c>
      <c r="V3658" s="694">
        <v>43469</v>
      </c>
      <c r="W3658" s="696">
        <v>3241.2</v>
      </c>
    </row>
    <row r="3659" spans="21:23">
      <c r="U3659" s="693">
        <f t="shared" si="57"/>
        <v>43466</v>
      </c>
      <c r="V3659" s="694">
        <v>43470</v>
      </c>
      <c r="W3659" s="696">
        <v>3208.56</v>
      </c>
    </row>
    <row r="3660" spans="21:23">
      <c r="U3660" s="693">
        <f t="shared" si="57"/>
        <v>43466</v>
      </c>
      <c r="V3660" s="694">
        <v>43471</v>
      </c>
      <c r="W3660" s="696">
        <v>3208.56</v>
      </c>
    </row>
    <row r="3661" spans="21:23">
      <c r="U3661" s="693">
        <f t="shared" si="57"/>
        <v>43466</v>
      </c>
      <c r="V3661" s="694">
        <v>43472</v>
      </c>
      <c r="W3661" s="696">
        <v>3208.56</v>
      </c>
    </row>
    <row r="3662" spans="21:23">
      <c r="U3662" s="693">
        <f t="shared" si="57"/>
        <v>43466</v>
      </c>
      <c r="V3662" s="694">
        <v>43473</v>
      </c>
      <c r="W3662" s="696">
        <v>3208.56</v>
      </c>
    </row>
    <row r="3663" spans="21:23">
      <c r="U3663" s="693">
        <f t="shared" si="57"/>
        <v>43466</v>
      </c>
      <c r="V3663" s="694">
        <v>43474</v>
      </c>
      <c r="W3663" s="696">
        <v>3164.75</v>
      </c>
    </row>
    <row r="3664" spans="21:23">
      <c r="U3664" s="693">
        <f t="shared" si="57"/>
        <v>43466</v>
      </c>
      <c r="V3664" s="694">
        <v>43475</v>
      </c>
      <c r="W3664" s="696">
        <v>3128.07</v>
      </c>
    </row>
    <row r="3665" spans="21:23">
      <c r="U3665" s="693">
        <f t="shared" si="57"/>
        <v>43466</v>
      </c>
      <c r="V3665" s="694">
        <v>43476</v>
      </c>
      <c r="W3665" s="696">
        <v>3136.49</v>
      </c>
    </row>
    <row r="3666" spans="21:23">
      <c r="U3666" s="693">
        <f t="shared" si="57"/>
        <v>43466</v>
      </c>
      <c r="V3666" s="694">
        <v>43477</v>
      </c>
      <c r="W3666" s="696">
        <v>3151.49</v>
      </c>
    </row>
    <row r="3667" spans="21:23">
      <c r="U3667" s="693">
        <f t="shared" si="57"/>
        <v>43466</v>
      </c>
      <c r="V3667" s="694">
        <v>43478</v>
      </c>
      <c r="W3667" s="696">
        <v>3151.49</v>
      </c>
    </row>
    <row r="3668" spans="21:23">
      <c r="U3668" s="693">
        <f t="shared" si="57"/>
        <v>43466</v>
      </c>
      <c r="V3668" s="694">
        <v>43479</v>
      </c>
      <c r="W3668" s="696">
        <v>3151.49</v>
      </c>
    </row>
    <row r="3669" spans="21:23">
      <c r="U3669" s="693">
        <f t="shared" si="57"/>
        <v>43466</v>
      </c>
      <c r="V3669" s="694">
        <v>43480</v>
      </c>
      <c r="W3669" s="696">
        <v>3143.22</v>
      </c>
    </row>
    <row r="3670" spans="21:23">
      <c r="U3670" s="693">
        <f t="shared" si="57"/>
        <v>43466</v>
      </c>
      <c r="V3670" s="694">
        <v>43481</v>
      </c>
      <c r="W3670" s="696">
        <v>3137.66</v>
      </c>
    </row>
    <row r="3671" spans="21:23">
      <c r="U3671" s="693">
        <f t="shared" si="57"/>
        <v>43466</v>
      </c>
      <c r="V3671" s="694">
        <v>43482</v>
      </c>
      <c r="W3671" s="696">
        <v>3124.96</v>
      </c>
    </row>
    <row r="3672" spans="21:23">
      <c r="U3672" s="693">
        <f t="shared" si="57"/>
        <v>43466</v>
      </c>
      <c r="V3672" s="694">
        <v>43483</v>
      </c>
      <c r="W3672" s="696">
        <v>3140.19</v>
      </c>
    </row>
    <row r="3673" spans="21:23">
      <c r="U3673" s="693">
        <f t="shared" si="57"/>
        <v>43466</v>
      </c>
      <c r="V3673" s="694">
        <v>43484</v>
      </c>
      <c r="W3673" s="696">
        <v>3120.56</v>
      </c>
    </row>
    <row r="3674" spans="21:23">
      <c r="U3674" s="693">
        <f t="shared" si="57"/>
        <v>43466</v>
      </c>
      <c r="V3674" s="694">
        <v>43485</v>
      </c>
      <c r="W3674" s="696">
        <v>3120.56</v>
      </c>
    </row>
    <row r="3675" spans="21:23">
      <c r="U3675" s="693">
        <f t="shared" si="57"/>
        <v>43466</v>
      </c>
      <c r="V3675" s="694">
        <v>43486</v>
      </c>
      <c r="W3675" s="696">
        <v>3120.56</v>
      </c>
    </row>
    <row r="3676" spans="21:23">
      <c r="U3676" s="693">
        <f t="shared" si="57"/>
        <v>43466</v>
      </c>
      <c r="V3676" s="694">
        <v>43487</v>
      </c>
      <c r="W3676" s="696">
        <v>3120.56</v>
      </c>
    </row>
    <row r="3677" spans="21:23">
      <c r="U3677" s="693">
        <f t="shared" si="57"/>
        <v>43466</v>
      </c>
      <c r="V3677" s="694">
        <v>43488</v>
      </c>
      <c r="W3677" s="696">
        <v>3136.59</v>
      </c>
    </row>
    <row r="3678" spans="21:23">
      <c r="U3678" s="693">
        <f t="shared" si="57"/>
        <v>43466</v>
      </c>
      <c r="V3678" s="694">
        <v>43489</v>
      </c>
      <c r="W3678" s="696">
        <v>3146.14</v>
      </c>
    </row>
    <row r="3679" spans="21:23">
      <c r="U3679" s="693">
        <f t="shared" si="57"/>
        <v>43466</v>
      </c>
      <c r="V3679" s="694">
        <v>43490</v>
      </c>
      <c r="W3679" s="696">
        <v>3160.52</v>
      </c>
    </row>
    <row r="3680" spans="21:23">
      <c r="U3680" s="693">
        <f t="shared" si="57"/>
        <v>43466</v>
      </c>
      <c r="V3680" s="694">
        <v>43491</v>
      </c>
      <c r="W3680" s="696">
        <v>3150.58</v>
      </c>
    </row>
    <row r="3681" spans="21:23">
      <c r="U3681" s="693">
        <f t="shared" si="57"/>
        <v>43466</v>
      </c>
      <c r="V3681" s="694">
        <v>43492</v>
      </c>
      <c r="W3681" s="696">
        <v>3150.58</v>
      </c>
    </row>
    <row r="3682" spans="21:23">
      <c r="U3682" s="693">
        <f t="shared" si="57"/>
        <v>43466</v>
      </c>
      <c r="V3682" s="694">
        <v>43493</v>
      </c>
      <c r="W3682" s="696">
        <v>3150.58</v>
      </c>
    </row>
    <row r="3683" spans="21:23">
      <c r="U3683" s="693">
        <f t="shared" si="57"/>
        <v>43466</v>
      </c>
      <c r="V3683" s="694">
        <v>43494</v>
      </c>
      <c r="W3683" s="696">
        <v>3167.86</v>
      </c>
    </row>
    <row r="3684" spans="21:23">
      <c r="U3684" s="693">
        <f t="shared" si="57"/>
        <v>43466</v>
      </c>
      <c r="V3684" s="694">
        <v>43495</v>
      </c>
      <c r="W3684" s="696">
        <v>3157.52</v>
      </c>
    </row>
    <row r="3685" spans="21:23">
      <c r="U3685" s="693">
        <f t="shared" si="57"/>
        <v>43466</v>
      </c>
      <c r="V3685" s="694">
        <v>43496</v>
      </c>
      <c r="W3685" s="696">
        <v>3163.46</v>
      </c>
    </row>
    <row r="3686" spans="21:23">
      <c r="U3686" s="693">
        <f t="shared" si="57"/>
        <v>43497</v>
      </c>
      <c r="V3686" s="694">
        <v>43497</v>
      </c>
      <c r="W3686" s="696">
        <v>3115.7</v>
      </c>
    </row>
    <row r="3687" spans="21:23">
      <c r="U3687" s="693">
        <f t="shared" si="57"/>
        <v>43497</v>
      </c>
      <c r="V3687" s="694">
        <v>43498</v>
      </c>
      <c r="W3687" s="696">
        <v>3102.61</v>
      </c>
    </row>
    <row r="3688" spans="21:23">
      <c r="U3688" s="693">
        <f t="shared" si="57"/>
        <v>43497</v>
      </c>
      <c r="V3688" s="694">
        <v>43499</v>
      </c>
      <c r="W3688" s="696">
        <v>3102.61</v>
      </c>
    </row>
    <row r="3689" spans="21:23">
      <c r="U3689" s="693">
        <f t="shared" si="57"/>
        <v>43497</v>
      </c>
      <c r="V3689" s="694">
        <v>43500</v>
      </c>
      <c r="W3689" s="696">
        <v>3102.61</v>
      </c>
    </row>
    <row r="3690" spans="21:23">
      <c r="U3690" s="693">
        <f t="shared" si="57"/>
        <v>43497</v>
      </c>
      <c r="V3690" s="694">
        <v>43501</v>
      </c>
      <c r="W3690" s="696">
        <v>3089.4</v>
      </c>
    </row>
    <row r="3691" spans="21:23">
      <c r="U3691" s="693">
        <f t="shared" si="57"/>
        <v>43497</v>
      </c>
      <c r="V3691" s="694">
        <v>43502</v>
      </c>
      <c r="W3691" s="696">
        <v>3094.05</v>
      </c>
    </row>
    <row r="3692" spans="21:23">
      <c r="U3692" s="693">
        <f t="shared" si="57"/>
        <v>43497</v>
      </c>
      <c r="V3692" s="694">
        <v>43503</v>
      </c>
      <c r="W3692" s="696">
        <v>3108.54</v>
      </c>
    </row>
    <row r="3693" spans="21:23">
      <c r="U3693" s="693">
        <f t="shared" si="57"/>
        <v>43497</v>
      </c>
      <c r="V3693" s="694">
        <v>43504</v>
      </c>
      <c r="W3693" s="696">
        <v>3110.46</v>
      </c>
    </row>
    <row r="3694" spans="21:23">
      <c r="U3694" s="693">
        <f t="shared" si="57"/>
        <v>43497</v>
      </c>
      <c r="V3694" s="694">
        <v>43505</v>
      </c>
      <c r="W3694" s="696">
        <v>3115.94</v>
      </c>
    </row>
    <row r="3695" spans="21:23">
      <c r="U3695" s="693">
        <f t="shared" si="57"/>
        <v>43497</v>
      </c>
      <c r="V3695" s="694">
        <v>43506</v>
      </c>
      <c r="W3695" s="696">
        <v>3115.94</v>
      </c>
    </row>
    <row r="3696" spans="21:23">
      <c r="U3696" s="693">
        <f t="shared" si="57"/>
        <v>43497</v>
      </c>
      <c r="V3696" s="694">
        <v>43507</v>
      </c>
      <c r="W3696" s="696">
        <v>3115.94</v>
      </c>
    </row>
    <row r="3697" spans="21:23">
      <c r="U3697" s="693">
        <f t="shared" si="57"/>
        <v>43497</v>
      </c>
      <c r="V3697" s="694">
        <v>43508</v>
      </c>
      <c r="W3697" s="696">
        <v>3132.61</v>
      </c>
    </row>
    <row r="3698" spans="21:23">
      <c r="U3698" s="693">
        <f t="shared" si="57"/>
        <v>43497</v>
      </c>
      <c r="V3698" s="694">
        <v>43509</v>
      </c>
      <c r="W3698" s="696">
        <v>3131.1</v>
      </c>
    </row>
    <row r="3699" spans="21:23">
      <c r="U3699" s="693">
        <f t="shared" si="57"/>
        <v>43497</v>
      </c>
      <c r="V3699" s="694">
        <v>43510</v>
      </c>
      <c r="W3699" s="696">
        <v>3135.56</v>
      </c>
    </row>
    <row r="3700" spans="21:23">
      <c r="U3700" s="693">
        <f t="shared" si="57"/>
        <v>43497</v>
      </c>
      <c r="V3700" s="694">
        <v>43511</v>
      </c>
      <c r="W3700" s="696">
        <v>3155.27</v>
      </c>
    </row>
    <row r="3701" spans="21:23">
      <c r="U3701" s="693">
        <f t="shared" si="57"/>
        <v>43497</v>
      </c>
      <c r="V3701" s="694">
        <v>43512</v>
      </c>
      <c r="W3701" s="696">
        <v>3141.4</v>
      </c>
    </row>
    <row r="3702" spans="21:23">
      <c r="U3702" s="693">
        <f t="shared" si="57"/>
        <v>43497</v>
      </c>
      <c r="V3702" s="694">
        <v>43513</v>
      </c>
      <c r="W3702" s="696">
        <v>3141.4</v>
      </c>
    </row>
    <row r="3703" spans="21:23">
      <c r="U3703" s="693">
        <f t="shared" si="57"/>
        <v>43497</v>
      </c>
      <c r="V3703" s="694">
        <v>43514</v>
      </c>
      <c r="W3703" s="696">
        <v>3141.4</v>
      </c>
    </row>
    <row r="3704" spans="21:23">
      <c r="U3704" s="693">
        <f t="shared" si="57"/>
        <v>43497</v>
      </c>
      <c r="V3704" s="694">
        <v>43515</v>
      </c>
      <c r="W3704" s="696">
        <v>3141.4</v>
      </c>
    </row>
    <row r="3705" spans="21:23">
      <c r="U3705" s="693">
        <f t="shared" si="57"/>
        <v>43497</v>
      </c>
      <c r="V3705" s="694">
        <v>43516</v>
      </c>
      <c r="W3705" s="696">
        <v>3118.36</v>
      </c>
    </row>
    <row r="3706" spans="21:23">
      <c r="U3706" s="693">
        <f t="shared" si="57"/>
        <v>43497</v>
      </c>
      <c r="V3706" s="694">
        <v>43517</v>
      </c>
      <c r="W3706" s="696">
        <v>3112.18</v>
      </c>
    </row>
    <row r="3707" spans="21:23">
      <c r="U3707" s="693">
        <f t="shared" si="57"/>
        <v>43497</v>
      </c>
      <c r="V3707" s="694">
        <v>43518</v>
      </c>
      <c r="W3707" s="696">
        <v>3119.42</v>
      </c>
    </row>
    <row r="3708" spans="21:23">
      <c r="U3708" s="693">
        <f t="shared" si="57"/>
        <v>43497</v>
      </c>
      <c r="V3708" s="694">
        <v>43519</v>
      </c>
      <c r="W3708" s="696">
        <v>3110.29</v>
      </c>
    </row>
    <row r="3709" spans="21:23">
      <c r="U3709" s="693">
        <f t="shared" si="57"/>
        <v>43497</v>
      </c>
      <c r="V3709" s="694">
        <v>43520</v>
      </c>
      <c r="W3709" s="696">
        <v>3110.29</v>
      </c>
    </row>
    <row r="3710" spans="21:23">
      <c r="U3710" s="693">
        <f t="shared" si="57"/>
        <v>43497</v>
      </c>
      <c r="V3710" s="694">
        <v>43521</v>
      </c>
      <c r="W3710" s="696">
        <v>3110.29</v>
      </c>
    </row>
    <row r="3711" spans="21:23">
      <c r="U3711" s="693">
        <f t="shared" si="57"/>
        <v>43497</v>
      </c>
      <c r="V3711" s="694">
        <v>43522</v>
      </c>
      <c r="W3711" s="696">
        <v>3101.41</v>
      </c>
    </row>
    <row r="3712" spans="21:23">
      <c r="U3712" s="693">
        <f t="shared" si="57"/>
        <v>43497</v>
      </c>
      <c r="V3712" s="694">
        <v>43523</v>
      </c>
      <c r="W3712" s="696">
        <v>3095.29</v>
      </c>
    </row>
    <row r="3713" spans="21:23">
      <c r="U3713" s="693">
        <f t="shared" si="57"/>
        <v>43497</v>
      </c>
      <c r="V3713" s="694">
        <v>43524</v>
      </c>
      <c r="W3713" s="696">
        <v>3072.01</v>
      </c>
    </row>
    <row r="3714" spans="21:23">
      <c r="U3714" s="693">
        <f t="shared" si="57"/>
        <v>43525</v>
      </c>
      <c r="V3714" s="694">
        <v>43525</v>
      </c>
      <c r="W3714" s="696">
        <v>3077.35</v>
      </c>
    </row>
    <row r="3715" spans="21:23">
      <c r="U3715" s="693">
        <f t="shared" ref="U3715:U3778" si="58">+DATE(YEAR(V3715),MONTH(V3715),1)</f>
        <v>43525</v>
      </c>
      <c r="V3715" s="694">
        <v>43526</v>
      </c>
      <c r="W3715" s="696">
        <v>3091.49</v>
      </c>
    </row>
    <row r="3716" spans="21:23">
      <c r="U3716" s="693">
        <f t="shared" si="58"/>
        <v>43525</v>
      </c>
      <c r="V3716" s="694">
        <v>43527</v>
      </c>
      <c r="W3716" s="696">
        <v>3091.49</v>
      </c>
    </row>
    <row r="3717" spans="21:23">
      <c r="U3717" s="693">
        <f t="shared" si="58"/>
        <v>43525</v>
      </c>
      <c r="V3717" s="694">
        <v>43528</v>
      </c>
      <c r="W3717" s="696">
        <v>3091.49</v>
      </c>
    </row>
    <row r="3718" spans="21:23">
      <c r="U3718" s="693">
        <f t="shared" si="58"/>
        <v>43525</v>
      </c>
      <c r="V3718" s="694">
        <v>43529</v>
      </c>
      <c r="W3718" s="696">
        <v>3093.79</v>
      </c>
    </row>
    <row r="3719" spans="21:23">
      <c r="U3719" s="693">
        <f t="shared" si="58"/>
        <v>43525</v>
      </c>
      <c r="V3719" s="694">
        <v>43530</v>
      </c>
      <c r="W3719" s="696">
        <v>3099.12</v>
      </c>
    </row>
    <row r="3720" spans="21:23">
      <c r="U3720" s="693">
        <f t="shared" si="58"/>
        <v>43525</v>
      </c>
      <c r="V3720" s="694">
        <v>43531</v>
      </c>
      <c r="W3720" s="696">
        <v>3106.16</v>
      </c>
    </row>
    <row r="3721" spans="21:23">
      <c r="U3721" s="693">
        <f t="shared" si="58"/>
        <v>43525</v>
      </c>
      <c r="V3721" s="694">
        <v>43532</v>
      </c>
      <c r="W3721" s="696">
        <v>3120.04</v>
      </c>
    </row>
    <row r="3722" spans="21:23">
      <c r="U3722" s="693">
        <f t="shared" si="58"/>
        <v>43525</v>
      </c>
      <c r="V3722" s="694">
        <v>43533</v>
      </c>
      <c r="W3722" s="696">
        <v>3162.4</v>
      </c>
    </row>
    <row r="3723" spans="21:23">
      <c r="U3723" s="693">
        <f t="shared" si="58"/>
        <v>43525</v>
      </c>
      <c r="V3723" s="694">
        <v>43534</v>
      </c>
      <c r="W3723" s="696">
        <v>3162.4</v>
      </c>
    </row>
    <row r="3724" spans="21:23">
      <c r="U3724" s="693">
        <f t="shared" si="58"/>
        <v>43525</v>
      </c>
      <c r="V3724" s="694">
        <v>43535</v>
      </c>
      <c r="W3724" s="696">
        <v>3162.4</v>
      </c>
    </row>
    <row r="3725" spans="21:23">
      <c r="U3725" s="693">
        <f t="shared" si="58"/>
        <v>43525</v>
      </c>
      <c r="V3725" s="694">
        <v>43536</v>
      </c>
      <c r="W3725" s="696">
        <v>3168.35</v>
      </c>
    </row>
    <row r="3726" spans="21:23">
      <c r="U3726" s="693">
        <f t="shared" si="58"/>
        <v>43525</v>
      </c>
      <c r="V3726" s="694">
        <v>43537</v>
      </c>
      <c r="W3726" s="696">
        <v>3153.2</v>
      </c>
    </row>
    <row r="3727" spans="21:23">
      <c r="U3727" s="693">
        <f t="shared" si="58"/>
        <v>43525</v>
      </c>
      <c r="V3727" s="694">
        <v>43538</v>
      </c>
      <c r="W3727" s="696">
        <v>3145.53</v>
      </c>
    </row>
    <row r="3728" spans="21:23">
      <c r="U3728" s="693">
        <f t="shared" si="58"/>
        <v>43525</v>
      </c>
      <c r="V3728" s="694">
        <v>43539</v>
      </c>
      <c r="W3728" s="696">
        <v>3144.42</v>
      </c>
    </row>
    <row r="3729" spans="21:23">
      <c r="U3729" s="693">
        <f t="shared" si="58"/>
        <v>43525</v>
      </c>
      <c r="V3729" s="694">
        <v>43540</v>
      </c>
      <c r="W3729" s="696">
        <v>3123.28</v>
      </c>
    </row>
    <row r="3730" spans="21:23">
      <c r="U3730" s="693">
        <f t="shared" si="58"/>
        <v>43525</v>
      </c>
      <c r="V3730" s="694">
        <v>43541</v>
      </c>
      <c r="W3730" s="696">
        <v>3123.28</v>
      </c>
    </row>
    <row r="3731" spans="21:23">
      <c r="U3731" s="693">
        <f t="shared" si="58"/>
        <v>43525</v>
      </c>
      <c r="V3731" s="694">
        <v>43542</v>
      </c>
      <c r="W3731" s="696">
        <v>3123.28</v>
      </c>
    </row>
    <row r="3732" spans="21:23">
      <c r="U3732" s="693">
        <f t="shared" si="58"/>
        <v>43525</v>
      </c>
      <c r="V3732" s="694">
        <v>43543</v>
      </c>
      <c r="W3732" s="696">
        <v>3102.25</v>
      </c>
    </row>
    <row r="3733" spans="21:23">
      <c r="U3733" s="693">
        <f t="shared" si="58"/>
        <v>43525</v>
      </c>
      <c r="V3733" s="694">
        <v>43544</v>
      </c>
      <c r="W3733" s="696">
        <v>3095.39</v>
      </c>
    </row>
    <row r="3734" spans="21:23">
      <c r="U3734" s="693">
        <f t="shared" si="58"/>
        <v>43525</v>
      </c>
      <c r="V3734" s="694">
        <v>43545</v>
      </c>
      <c r="W3734" s="696">
        <v>3092.39</v>
      </c>
    </row>
    <row r="3735" spans="21:23">
      <c r="U3735" s="693">
        <f t="shared" si="58"/>
        <v>43525</v>
      </c>
      <c r="V3735" s="694">
        <v>43546</v>
      </c>
      <c r="W3735" s="696">
        <v>3082.45</v>
      </c>
    </row>
    <row r="3736" spans="21:23">
      <c r="U3736" s="693">
        <f t="shared" si="58"/>
        <v>43525</v>
      </c>
      <c r="V3736" s="694">
        <v>43547</v>
      </c>
      <c r="W3736" s="696">
        <v>3126.19</v>
      </c>
    </row>
    <row r="3737" spans="21:23">
      <c r="U3737" s="693">
        <f t="shared" si="58"/>
        <v>43525</v>
      </c>
      <c r="V3737" s="694">
        <v>43548</v>
      </c>
      <c r="W3737" s="696">
        <v>3126.19</v>
      </c>
    </row>
    <row r="3738" spans="21:23">
      <c r="U3738" s="693">
        <f t="shared" si="58"/>
        <v>43525</v>
      </c>
      <c r="V3738" s="694">
        <v>43549</v>
      </c>
      <c r="W3738" s="696">
        <v>3126.19</v>
      </c>
    </row>
    <row r="3739" spans="21:23">
      <c r="U3739" s="693">
        <f t="shared" si="58"/>
        <v>43525</v>
      </c>
      <c r="V3739" s="694">
        <v>43550</v>
      </c>
      <c r="W3739" s="696">
        <v>3126.19</v>
      </c>
    </row>
    <row r="3740" spans="21:23">
      <c r="U3740" s="693">
        <f t="shared" si="58"/>
        <v>43525</v>
      </c>
      <c r="V3740" s="694">
        <v>43551</v>
      </c>
      <c r="W3740" s="696">
        <v>3145.55</v>
      </c>
    </row>
    <row r="3741" spans="21:23">
      <c r="U3741" s="693">
        <f t="shared" si="58"/>
        <v>43525</v>
      </c>
      <c r="V3741" s="694">
        <v>43552</v>
      </c>
      <c r="W3741" s="696">
        <v>3186.43</v>
      </c>
    </row>
    <row r="3742" spans="21:23">
      <c r="U3742" s="693">
        <f t="shared" si="58"/>
        <v>43525</v>
      </c>
      <c r="V3742" s="694">
        <v>43553</v>
      </c>
      <c r="W3742" s="696">
        <v>3190.94</v>
      </c>
    </row>
    <row r="3743" spans="21:23">
      <c r="U3743" s="693">
        <f t="shared" si="58"/>
        <v>43525</v>
      </c>
      <c r="V3743" s="694">
        <v>43554</v>
      </c>
      <c r="W3743" s="696">
        <v>3174.79</v>
      </c>
    </row>
    <row r="3744" spans="21:23">
      <c r="U3744" s="693">
        <f t="shared" si="58"/>
        <v>43525</v>
      </c>
      <c r="V3744" s="694">
        <v>43555</v>
      </c>
      <c r="W3744" s="696">
        <v>3174.79</v>
      </c>
    </row>
    <row r="3745" spans="21:23">
      <c r="U3745" s="693">
        <f t="shared" si="58"/>
        <v>43556</v>
      </c>
      <c r="V3745" s="694">
        <v>43556</v>
      </c>
      <c r="W3745" s="696">
        <v>3174.79</v>
      </c>
    </row>
    <row r="3746" spans="21:23">
      <c r="U3746" s="693">
        <f t="shared" si="58"/>
        <v>43556</v>
      </c>
      <c r="V3746" s="694">
        <v>43557</v>
      </c>
      <c r="W3746" s="696">
        <v>3146.81</v>
      </c>
    </row>
    <row r="3747" spans="21:23">
      <c r="U3747" s="693">
        <f t="shared" si="58"/>
        <v>43556</v>
      </c>
      <c r="V3747" s="694">
        <v>43558</v>
      </c>
      <c r="W3747" s="696">
        <v>3143.36</v>
      </c>
    </row>
    <row r="3748" spans="21:23">
      <c r="U3748" s="693">
        <f t="shared" si="58"/>
        <v>43556</v>
      </c>
      <c r="V3748" s="694">
        <v>43559</v>
      </c>
      <c r="W3748" s="696">
        <v>3128.47</v>
      </c>
    </row>
    <row r="3749" spans="21:23">
      <c r="U3749" s="693">
        <f t="shared" si="58"/>
        <v>43556</v>
      </c>
      <c r="V3749" s="694">
        <v>43560</v>
      </c>
      <c r="W3749" s="696">
        <v>3132.78</v>
      </c>
    </row>
    <row r="3750" spans="21:23">
      <c r="U3750" s="693">
        <f t="shared" si="58"/>
        <v>43556</v>
      </c>
      <c r="V3750" s="694">
        <v>43561</v>
      </c>
      <c r="W3750" s="696">
        <v>3126.2</v>
      </c>
    </row>
    <row r="3751" spans="21:23">
      <c r="U3751" s="693">
        <f t="shared" si="58"/>
        <v>43556</v>
      </c>
      <c r="V3751" s="694">
        <v>43562</v>
      </c>
      <c r="W3751" s="696">
        <v>3126.2</v>
      </c>
    </row>
    <row r="3752" spans="21:23">
      <c r="U3752" s="693">
        <f t="shared" si="58"/>
        <v>43556</v>
      </c>
      <c r="V3752" s="694">
        <v>43563</v>
      </c>
      <c r="W3752" s="696">
        <v>3126.2</v>
      </c>
    </row>
    <row r="3753" spans="21:23">
      <c r="U3753" s="693">
        <f t="shared" si="58"/>
        <v>43556</v>
      </c>
      <c r="V3753" s="694">
        <v>43564</v>
      </c>
      <c r="W3753" s="696">
        <v>3115.22</v>
      </c>
    </row>
    <row r="3754" spans="21:23">
      <c r="U3754" s="693">
        <f t="shared" si="58"/>
        <v>43556</v>
      </c>
      <c r="V3754" s="694">
        <v>43565</v>
      </c>
      <c r="W3754" s="696">
        <v>3105.2</v>
      </c>
    </row>
    <row r="3755" spans="21:23">
      <c r="U3755" s="693">
        <f t="shared" si="58"/>
        <v>43556</v>
      </c>
      <c r="V3755" s="694">
        <v>43566</v>
      </c>
      <c r="W3755" s="696">
        <v>3095.66</v>
      </c>
    </row>
    <row r="3756" spans="21:23">
      <c r="U3756" s="693">
        <f t="shared" si="58"/>
        <v>43556</v>
      </c>
      <c r="V3756" s="694">
        <v>43567</v>
      </c>
      <c r="W3756" s="696">
        <v>3113.91</v>
      </c>
    </row>
    <row r="3757" spans="21:23">
      <c r="U3757" s="693">
        <f t="shared" si="58"/>
        <v>43556</v>
      </c>
      <c r="V3757" s="694">
        <v>43568</v>
      </c>
      <c r="W3757" s="696">
        <v>3109.32</v>
      </c>
    </row>
    <row r="3758" spans="21:23">
      <c r="U3758" s="693">
        <f t="shared" si="58"/>
        <v>43556</v>
      </c>
      <c r="V3758" s="694">
        <v>43569</v>
      </c>
      <c r="W3758" s="696">
        <v>3109.32</v>
      </c>
    </row>
    <row r="3759" spans="21:23">
      <c r="U3759" s="693">
        <f t="shared" si="58"/>
        <v>43556</v>
      </c>
      <c r="V3759" s="694">
        <v>43570</v>
      </c>
      <c r="W3759" s="696">
        <v>3109.32</v>
      </c>
    </row>
    <row r="3760" spans="21:23">
      <c r="U3760" s="693">
        <f t="shared" si="58"/>
        <v>43556</v>
      </c>
      <c r="V3760" s="694">
        <v>43571</v>
      </c>
      <c r="W3760" s="696">
        <v>3136.69</v>
      </c>
    </row>
    <row r="3761" spans="21:23">
      <c r="U3761" s="693">
        <f t="shared" si="58"/>
        <v>43556</v>
      </c>
      <c r="V3761" s="694">
        <v>43572</v>
      </c>
      <c r="W3761" s="696">
        <v>3160.87</v>
      </c>
    </row>
    <row r="3762" spans="21:23">
      <c r="U3762" s="693">
        <f t="shared" si="58"/>
        <v>43556</v>
      </c>
      <c r="V3762" s="694">
        <v>43573</v>
      </c>
      <c r="W3762" s="696">
        <v>3160.48</v>
      </c>
    </row>
    <row r="3763" spans="21:23">
      <c r="U3763" s="693">
        <f t="shared" si="58"/>
        <v>43556</v>
      </c>
      <c r="V3763" s="694">
        <v>43574</v>
      </c>
      <c r="W3763" s="696">
        <v>3160.48</v>
      </c>
    </row>
    <row r="3764" spans="21:23">
      <c r="U3764" s="693">
        <f t="shared" si="58"/>
        <v>43556</v>
      </c>
      <c r="V3764" s="694">
        <v>43575</v>
      </c>
      <c r="W3764" s="696">
        <v>3160.48</v>
      </c>
    </row>
    <row r="3765" spans="21:23">
      <c r="U3765" s="693">
        <f t="shared" si="58"/>
        <v>43556</v>
      </c>
      <c r="V3765" s="694">
        <v>43576</v>
      </c>
      <c r="W3765" s="696">
        <v>3160.48</v>
      </c>
    </row>
    <row r="3766" spans="21:23">
      <c r="U3766" s="693">
        <f t="shared" si="58"/>
        <v>43556</v>
      </c>
      <c r="V3766" s="694">
        <v>43577</v>
      </c>
      <c r="W3766" s="696">
        <v>3160.48</v>
      </c>
    </row>
    <row r="3767" spans="21:23">
      <c r="U3767" s="693">
        <f t="shared" si="58"/>
        <v>43556</v>
      </c>
      <c r="V3767" s="694">
        <v>43578</v>
      </c>
      <c r="W3767" s="696">
        <v>3149.99</v>
      </c>
    </row>
    <row r="3768" spans="21:23">
      <c r="U3768" s="693">
        <f t="shared" si="58"/>
        <v>43556</v>
      </c>
      <c r="V3768" s="694">
        <v>43579</v>
      </c>
      <c r="W3768" s="696">
        <v>3177.94</v>
      </c>
    </row>
    <row r="3769" spans="21:23">
      <c r="U3769" s="693">
        <f t="shared" si="58"/>
        <v>43556</v>
      </c>
      <c r="V3769" s="694">
        <v>43580</v>
      </c>
      <c r="W3769" s="696">
        <v>3213.23</v>
      </c>
    </row>
    <row r="3770" spans="21:23">
      <c r="U3770" s="693">
        <f t="shared" si="58"/>
        <v>43556</v>
      </c>
      <c r="V3770" s="694">
        <v>43581</v>
      </c>
      <c r="W3770" s="696">
        <v>3237.98</v>
      </c>
    </row>
    <row r="3771" spans="21:23">
      <c r="U3771" s="693">
        <f t="shared" si="58"/>
        <v>43556</v>
      </c>
      <c r="V3771" s="694">
        <v>43582</v>
      </c>
      <c r="W3771" s="696">
        <v>3227.79</v>
      </c>
    </row>
    <row r="3772" spans="21:23">
      <c r="U3772" s="693">
        <f t="shared" si="58"/>
        <v>43556</v>
      </c>
      <c r="V3772" s="694">
        <v>43583</v>
      </c>
      <c r="W3772" s="696">
        <v>3227.79</v>
      </c>
    </row>
    <row r="3773" spans="21:23">
      <c r="U3773" s="693">
        <f t="shared" si="58"/>
        <v>43556</v>
      </c>
      <c r="V3773" s="694">
        <v>43584</v>
      </c>
      <c r="W3773" s="696">
        <v>3227.79</v>
      </c>
    </row>
    <row r="3774" spans="21:23">
      <c r="U3774" s="693">
        <f t="shared" si="58"/>
        <v>43556</v>
      </c>
      <c r="V3774" s="694">
        <v>43585</v>
      </c>
      <c r="W3774" s="696">
        <v>3247.72</v>
      </c>
    </row>
    <row r="3775" spans="21:23">
      <c r="U3775" s="693">
        <f t="shared" si="58"/>
        <v>43586</v>
      </c>
      <c r="V3775" s="694">
        <v>43586</v>
      </c>
      <c r="W3775" s="696">
        <v>3233.97</v>
      </c>
    </row>
    <row r="3776" spans="21:23">
      <c r="U3776" s="693">
        <f t="shared" si="58"/>
        <v>43586</v>
      </c>
      <c r="V3776" s="694">
        <v>43587</v>
      </c>
      <c r="W3776" s="696">
        <v>3233.97</v>
      </c>
    </row>
    <row r="3777" spans="21:23">
      <c r="U3777" s="693">
        <f t="shared" si="58"/>
        <v>43586</v>
      </c>
      <c r="V3777" s="694">
        <v>43588</v>
      </c>
      <c r="W3777" s="696">
        <v>3262.17</v>
      </c>
    </row>
    <row r="3778" spans="21:23">
      <c r="U3778" s="693">
        <f t="shared" si="58"/>
        <v>43586</v>
      </c>
      <c r="V3778" s="694">
        <v>43589</v>
      </c>
      <c r="W3778" s="696">
        <v>3240.44</v>
      </c>
    </row>
    <row r="3779" spans="21:23">
      <c r="U3779" s="693">
        <f t="shared" ref="U3779:U3842" si="59">+DATE(YEAR(V3779),MONTH(V3779),1)</f>
        <v>43586</v>
      </c>
      <c r="V3779" s="694">
        <v>43590</v>
      </c>
      <c r="W3779" s="696">
        <v>3240.44</v>
      </c>
    </row>
    <row r="3780" spans="21:23">
      <c r="U3780" s="693">
        <f t="shared" si="59"/>
        <v>43586</v>
      </c>
      <c r="V3780" s="694">
        <v>43591</v>
      </c>
      <c r="W3780" s="696">
        <v>3240.44</v>
      </c>
    </row>
    <row r="3781" spans="21:23">
      <c r="U3781" s="693">
        <f t="shared" si="59"/>
        <v>43586</v>
      </c>
      <c r="V3781" s="694">
        <v>43592</v>
      </c>
      <c r="W3781" s="696">
        <v>3254.03</v>
      </c>
    </row>
    <row r="3782" spans="21:23">
      <c r="U3782" s="693">
        <f t="shared" si="59"/>
        <v>43586</v>
      </c>
      <c r="V3782" s="694">
        <v>43593</v>
      </c>
      <c r="W3782" s="696">
        <v>3288.81</v>
      </c>
    </row>
    <row r="3783" spans="21:23">
      <c r="U3783" s="693">
        <f t="shared" si="59"/>
        <v>43586</v>
      </c>
      <c r="V3783" s="694">
        <v>43594</v>
      </c>
      <c r="W3783" s="696">
        <v>3290.12</v>
      </c>
    </row>
    <row r="3784" spans="21:23">
      <c r="U3784" s="693">
        <f t="shared" si="59"/>
        <v>43586</v>
      </c>
      <c r="V3784" s="694">
        <v>43595</v>
      </c>
      <c r="W3784" s="696">
        <v>3293.62</v>
      </c>
    </row>
    <row r="3785" spans="21:23">
      <c r="U3785" s="693">
        <f t="shared" si="59"/>
        <v>43586</v>
      </c>
      <c r="V3785" s="694">
        <v>43596</v>
      </c>
      <c r="W3785" s="696">
        <v>3274.3</v>
      </c>
    </row>
    <row r="3786" spans="21:23">
      <c r="U3786" s="693">
        <f t="shared" si="59"/>
        <v>43586</v>
      </c>
      <c r="V3786" s="694">
        <v>43597</v>
      </c>
      <c r="W3786" s="696">
        <v>3274.3</v>
      </c>
    </row>
    <row r="3787" spans="21:23">
      <c r="U3787" s="693">
        <f t="shared" si="59"/>
        <v>43586</v>
      </c>
      <c r="V3787" s="694">
        <v>43598</v>
      </c>
      <c r="W3787" s="696">
        <v>3274.3</v>
      </c>
    </row>
    <row r="3788" spans="21:23">
      <c r="U3788" s="693">
        <f t="shared" si="59"/>
        <v>43586</v>
      </c>
      <c r="V3788" s="694">
        <v>43599</v>
      </c>
      <c r="W3788" s="696">
        <v>3299.01</v>
      </c>
    </row>
    <row r="3789" spans="21:23">
      <c r="U3789" s="693">
        <f t="shared" si="59"/>
        <v>43586</v>
      </c>
      <c r="V3789" s="694">
        <v>43600</v>
      </c>
      <c r="W3789" s="696">
        <v>3285.14</v>
      </c>
    </row>
    <row r="3790" spans="21:23">
      <c r="U3790" s="693">
        <f t="shared" si="59"/>
        <v>43586</v>
      </c>
      <c r="V3790" s="694">
        <v>43601</v>
      </c>
      <c r="W3790" s="696">
        <v>3295.51</v>
      </c>
    </row>
    <row r="3791" spans="21:23">
      <c r="U3791" s="693">
        <f t="shared" si="59"/>
        <v>43586</v>
      </c>
      <c r="V3791" s="694">
        <v>43602</v>
      </c>
      <c r="W3791" s="696">
        <v>3290.27</v>
      </c>
    </row>
    <row r="3792" spans="21:23">
      <c r="U3792" s="693">
        <f t="shared" si="59"/>
        <v>43586</v>
      </c>
      <c r="V3792" s="694">
        <v>43603</v>
      </c>
      <c r="W3792" s="696">
        <v>3313.72</v>
      </c>
    </row>
    <row r="3793" spans="21:23">
      <c r="U3793" s="693">
        <f t="shared" si="59"/>
        <v>43586</v>
      </c>
      <c r="V3793" s="694">
        <v>43604</v>
      </c>
      <c r="W3793" s="696">
        <v>3313.72</v>
      </c>
    </row>
    <row r="3794" spans="21:23">
      <c r="U3794" s="693">
        <f t="shared" si="59"/>
        <v>43586</v>
      </c>
      <c r="V3794" s="694">
        <v>43605</v>
      </c>
      <c r="W3794" s="696">
        <v>3313.72</v>
      </c>
    </row>
    <row r="3795" spans="21:23">
      <c r="U3795" s="693">
        <f t="shared" si="59"/>
        <v>43586</v>
      </c>
      <c r="V3795" s="694">
        <v>43606</v>
      </c>
      <c r="W3795" s="696">
        <v>3342.21</v>
      </c>
    </row>
    <row r="3796" spans="21:23">
      <c r="U3796" s="693">
        <f t="shared" si="59"/>
        <v>43586</v>
      </c>
      <c r="V3796" s="694">
        <v>43607</v>
      </c>
      <c r="W3796" s="696">
        <v>3344.45</v>
      </c>
    </row>
    <row r="3797" spans="21:23">
      <c r="U3797" s="693">
        <f t="shared" si="59"/>
        <v>43586</v>
      </c>
      <c r="V3797" s="694">
        <v>43608</v>
      </c>
      <c r="W3797" s="696">
        <v>3340.96</v>
      </c>
    </row>
    <row r="3798" spans="21:23">
      <c r="U3798" s="693">
        <f t="shared" si="59"/>
        <v>43586</v>
      </c>
      <c r="V3798" s="694">
        <v>43609</v>
      </c>
      <c r="W3798" s="696">
        <v>3368.76</v>
      </c>
    </row>
    <row r="3799" spans="21:23">
      <c r="U3799" s="693">
        <f t="shared" si="59"/>
        <v>43586</v>
      </c>
      <c r="V3799" s="694">
        <v>43610</v>
      </c>
      <c r="W3799" s="696">
        <v>3358.84</v>
      </c>
    </row>
    <row r="3800" spans="21:23">
      <c r="U3800" s="693">
        <f t="shared" si="59"/>
        <v>43586</v>
      </c>
      <c r="V3800" s="694">
        <v>43611</v>
      </c>
      <c r="W3800" s="696">
        <v>3358.84</v>
      </c>
    </row>
    <row r="3801" spans="21:23">
      <c r="U3801" s="693">
        <f t="shared" si="59"/>
        <v>43586</v>
      </c>
      <c r="V3801" s="694">
        <v>43612</v>
      </c>
      <c r="W3801" s="696">
        <v>3358.84</v>
      </c>
    </row>
    <row r="3802" spans="21:23">
      <c r="U3802" s="693">
        <f t="shared" si="59"/>
        <v>43586</v>
      </c>
      <c r="V3802" s="694">
        <v>43613</v>
      </c>
      <c r="W3802" s="696">
        <v>3358.84</v>
      </c>
    </row>
    <row r="3803" spans="21:23">
      <c r="U3803" s="693">
        <f t="shared" si="59"/>
        <v>43586</v>
      </c>
      <c r="V3803" s="694">
        <v>43614</v>
      </c>
      <c r="W3803" s="696">
        <v>3362.48</v>
      </c>
    </row>
    <row r="3804" spans="21:23">
      <c r="U3804" s="693">
        <f t="shared" si="59"/>
        <v>43586</v>
      </c>
      <c r="V3804" s="694">
        <v>43615</v>
      </c>
      <c r="W3804" s="696">
        <v>3375.29</v>
      </c>
    </row>
    <row r="3805" spans="21:23">
      <c r="U3805" s="693">
        <f t="shared" si="59"/>
        <v>43586</v>
      </c>
      <c r="V3805" s="694">
        <v>43616</v>
      </c>
      <c r="W3805" s="696">
        <v>3357.82</v>
      </c>
    </row>
    <row r="3806" spans="21:23">
      <c r="U3806" s="693">
        <f t="shared" si="59"/>
        <v>43617</v>
      </c>
      <c r="V3806" s="694">
        <v>43617</v>
      </c>
      <c r="W3806" s="696">
        <v>3377.16</v>
      </c>
    </row>
    <row r="3807" spans="21:23">
      <c r="U3807" s="693">
        <f t="shared" si="59"/>
        <v>43617</v>
      </c>
      <c r="V3807" s="694">
        <v>43618</v>
      </c>
      <c r="W3807" s="696">
        <v>3377.16</v>
      </c>
    </row>
    <row r="3808" spans="21:23">
      <c r="U3808" s="693">
        <f t="shared" si="59"/>
        <v>43617</v>
      </c>
      <c r="V3808" s="694">
        <v>43619</v>
      </c>
      <c r="W3808" s="696">
        <v>3377.16</v>
      </c>
    </row>
    <row r="3809" spans="21:23">
      <c r="U3809" s="693">
        <f t="shared" si="59"/>
        <v>43617</v>
      </c>
      <c r="V3809" s="694">
        <v>43620</v>
      </c>
      <c r="W3809" s="696">
        <v>3377.16</v>
      </c>
    </row>
    <row r="3810" spans="21:23">
      <c r="U3810" s="693">
        <f t="shared" si="59"/>
        <v>43617</v>
      </c>
      <c r="V3810" s="694">
        <v>43621</v>
      </c>
      <c r="W3810" s="696">
        <v>3306.37</v>
      </c>
    </row>
    <row r="3811" spans="21:23">
      <c r="U3811" s="693">
        <f t="shared" si="59"/>
        <v>43617</v>
      </c>
      <c r="V3811" s="694">
        <v>43622</v>
      </c>
      <c r="W3811" s="696">
        <v>3296.87</v>
      </c>
    </row>
    <row r="3812" spans="21:23">
      <c r="U3812" s="693">
        <f t="shared" si="59"/>
        <v>43617</v>
      </c>
      <c r="V3812" s="694">
        <v>43623</v>
      </c>
      <c r="W3812" s="696">
        <v>3288.69</v>
      </c>
    </row>
    <row r="3813" spans="21:23">
      <c r="U3813" s="693">
        <f t="shared" si="59"/>
        <v>43617</v>
      </c>
      <c r="V3813" s="694">
        <v>43624</v>
      </c>
      <c r="W3813" s="696">
        <v>3274.72</v>
      </c>
    </row>
    <row r="3814" spans="21:23">
      <c r="U3814" s="693">
        <f t="shared" si="59"/>
        <v>43617</v>
      </c>
      <c r="V3814" s="694">
        <v>43625</v>
      </c>
      <c r="W3814" s="696">
        <v>3274.72</v>
      </c>
    </row>
    <row r="3815" spans="21:23">
      <c r="U3815" s="693">
        <f t="shared" si="59"/>
        <v>43617</v>
      </c>
      <c r="V3815" s="694">
        <v>43626</v>
      </c>
      <c r="W3815" s="696">
        <v>3274.72</v>
      </c>
    </row>
    <row r="3816" spans="21:23">
      <c r="U3816" s="693">
        <f t="shared" si="59"/>
        <v>43617</v>
      </c>
      <c r="V3816" s="694">
        <v>43627</v>
      </c>
      <c r="W3816" s="696">
        <v>3257.06</v>
      </c>
    </row>
    <row r="3817" spans="21:23">
      <c r="U3817" s="693">
        <f t="shared" si="59"/>
        <v>43617</v>
      </c>
      <c r="V3817" s="694">
        <v>43628</v>
      </c>
      <c r="W3817" s="696">
        <v>3249.56</v>
      </c>
    </row>
    <row r="3818" spans="21:23">
      <c r="U3818" s="693">
        <f t="shared" si="59"/>
        <v>43617</v>
      </c>
      <c r="V3818" s="694">
        <v>43629</v>
      </c>
      <c r="W3818" s="696">
        <v>3264.47</v>
      </c>
    </row>
    <row r="3819" spans="21:23">
      <c r="U3819" s="693">
        <f t="shared" si="59"/>
        <v>43617</v>
      </c>
      <c r="V3819" s="694">
        <v>43630</v>
      </c>
      <c r="W3819" s="696">
        <v>3266.72</v>
      </c>
    </row>
    <row r="3820" spans="21:23">
      <c r="U3820" s="693">
        <f t="shared" si="59"/>
        <v>43617</v>
      </c>
      <c r="V3820" s="694">
        <v>43631</v>
      </c>
      <c r="W3820" s="696">
        <v>3270.7</v>
      </c>
    </row>
    <row r="3821" spans="21:23">
      <c r="U3821" s="693">
        <f t="shared" si="59"/>
        <v>43617</v>
      </c>
      <c r="V3821" s="694">
        <v>43632</v>
      </c>
      <c r="W3821" s="696">
        <v>3270.7</v>
      </c>
    </row>
    <row r="3822" spans="21:23">
      <c r="U3822" s="693">
        <f t="shared" si="59"/>
        <v>43617</v>
      </c>
      <c r="V3822" s="694">
        <v>43633</v>
      </c>
      <c r="W3822" s="696">
        <v>3270.7</v>
      </c>
    </row>
    <row r="3823" spans="21:23">
      <c r="U3823" s="693">
        <f t="shared" si="59"/>
        <v>43617</v>
      </c>
      <c r="V3823" s="694">
        <v>43634</v>
      </c>
      <c r="W3823" s="696">
        <v>3286.63</v>
      </c>
    </row>
    <row r="3824" spans="21:23">
      <c r="U3824" s="693">
        <f t="shared" si="59"/>
        <v>43617</v>
      </c>
      <c r="V3824" s="694">
        <v>43635</v>
      </c>
      <c r="W3824" s="696">
        <v>3264.98</v>
      </c>
    </row>
    <row r="3825" spans="21:23">
      <c r="U3825" s="693">
        <f t="shared" si="59"/>
        <v>43617</v>
      </c>
      <c r="V3825" s="694">
        <v>43636</v>
      </c>
      <c r="W3825" s="696">
        <v>3248.91</v>
      </c>
    </row>
    <row r="3826" spans="21:23">
      <c r="U3826" s="693">
        <f t="shared" si="59"/>
        <v>43617</v>
      </c>
      <c r="V3826" s="694">
        <v>43637</v>
      </c>
      <c r="W3826" s="696">
        <v>3202.01</v>
      </c>
    </row>
    <row r="3827" spans="21:23">
      <c r="U3827" s="693">
        <f t="shared" si="59"/>
        <v>43617</v>
      </c>
      <c r="V3827" s="694">
        <v>43638</v>
      </c>
      <c r="W3827" s="696">
        <v>3191.17</v>
      </c>
    </row>
    <row r="3828" spans="21:23">
      <c r="U3828" s="693">
        <f t="shared" si="59"/>
        <v>43617</v>
      </c>
      <c r="V3828" s="694">
        <v>43639</v>
      </c>
      <c r="W3828" s="696">
        <v>3191.17</v>
      </c>
    </row>
    <row r="3829" spans="21:23">
      <c r="U3829" s="693">
        <f t="shared" si="59"/>
        <v>43617</v>
      </c>
      <c r="V3829" s="694">
        <v>43640</v>
      </c>
      <c r="W3829" s="696">
        <v>3191.17</v>
      </c>
    </row>
    <row r="3830" spans="21:23">
      <c r="U3830" s="693">
        <f t="shared" si="59"/>
        <v>43617</v>
      </c>
      <c r="V3830" s="694">
        <v>43641</v>
      </c>
      <c r="W3830" s="696">
        <v>3191.17</v>
      </c>
    </row>
    <row r="3831" spans="21:23">
      <c r="U3831" s="693">
        <f t="shared" si="59"/>
        <v>43617</v>
      </c>
      <c r="V3831" s="694">
        <v>43642</v>
      </c>
      <c r="W3831" s="696">
        <v>3187.15</v>
      </c>
    </row>
    <row r="3832" spans="21:23">
      <c r="U3832" s="693">
        <f t="shared" si="59"/>
        <v>43617</v>
      </c>
      <c r="V3832" s="694">
        <v>43643</v>
      </c>
      <c r="W3832" s="696">
        <v>3177.94</v>
      </c>
    </row>
    <row r="3833" spans="21:23">
      <c r="U3833" s="693">
        <f t="shared" si="59"/>
        <v>43617</v>
      </c>
      <c r="V3833" s="694">
        <v>43644</v>
      </c>
      <c r="W3833" s="696">
        <v>3197.23</v>
      </c>
    </row>
    <row r="3834" spans="21:23">
      <c r="U3834" s="693">
        <f t="shared" si="59"/>
        <v>43617</v>
      </c>
      <c r="V3834" s="694">
        <v>43645</v>
      </c>
      <c r="W3834" s="696">
        <v>3205.67</v>
      </c>
    </row>
    <row r="3835" spans="21:23">
      <c r="U3835" s="693">
        <f t="shared" si="59"/>
        <v>43617</v>
      </c>
      <c r="V3835" s="694">
        <v>43646</v>
      </c>
      <c r="W3835" s="696">
        <v>3205.67</v>
      </c>
    </row>
    <row r="3836" spans="21:23">
      <c r="U3836" s="693">
        <f t="shared" si="59"/>
        <v>43647</v>
      </c>
      <c r="V3836" s="694">
        <v>43647</v>
      </c>
      <c r="W3836" s="696">
        <v>3205.67</v>
      </c>
    </row>
    <row r="3837" spans="21:23">
      <c r="U3837" s="693">
        <f t="shared" si="59"/>
        <v>43647</v>
      </c>
      <c r="V3837" s="694">
        <v>43648</v>
      </c>
      <c r="W3837" s="696">
        <v>3205.67</v>
      </c>
    </row>
    <row r="3838" spans="21:23">
      <c r="U3838" s="693">
        <f t="shared" si="59"/>
        <v>43647</v>
      </c>
      <c r="V3838" s="694">
        <v>43649</v>
      </c>
      <c r="W3838" s="696">
        <v>3211.06</v>
      </c>
    </row>
    <row r="3839" spans="21:23">
      <c r="U3839" s="693">
        <f t="shared" si="59"/>
        <v>43647</v>
      </c>
      <c r="V3839" s="694">
        <v>43650</v>
      </c>
      <c r="W3839" s="696">
        <v>3206.92</v>
      </c>
    </row>
    <row r="3840" spans="21:23">
      <c r="U3840" s="693">
        <f t="shared" si="59"/>
        <v>43647</v>
      </c>
      <c r="V3840" s="694">
        <v>43651</v>
      </c>
      <c r="W3840" s="696">
        <v>3206.92</v>
      </c>
    </row>
    <row r="3841" spans="21:23">
      <c r="U3841" s="693">
        <f t="shared" si="59"/>
        <v>43647</v>
      </c>
      <c r="V3841" s="694">
        <v>43652</v>
      </c>
      <c r="W3841" s="696">
        <v>3217.18</v>
      </c>
    </row>
    <row r="3842" spans="21:23">
      <c r="U3842" s="693">
        <f t="shared" si="59"/>
        <v>43647</v>
      </c>
      <c r="V3842" s="694">
        <v>43653</v>
      </c>
      <c r="W3842" s="696">
        <v>3217.18</v>
      </c>
    </row>
    <row r="3843" spans="21:23">
      <c r="U3843" s="693">
        <f t="shared" ref="U3843:U3906" si="60">+DATE(YEAR(V3843),MONTH(V3843),1)</f>
        <v>43647</v>
      </c>
      <c r="V3843" s="694">
        <v>43654</v>
      </c>
      <c r="W3843" s="696">
        <v>3217.18</v>
      </c>
    </row>
    <row r="3844" spans="21:23">
      <c r="U3844" s="693">
        <f t="shared" si="60"/>
        <v>43647</v>
      </c>
      <c r="V3844" s="694">
        <v>43655</v>
      </c>
      <c r="W3844" s="696">
        <v>3207.66</v>
      </c>
    </row>
    <row r="3845" spans="21:23">
      <c r="U3845" s="693">
        <f t="shared" si="60"/>
        <v>43647</v>
      </c>
      <c r="V3845" s="694">
        <v>43656</v>
      </c>
      <c r="W3845" s="696">
        <v>3223.67</v>
      </c>
    </row>
    <row r="3846" spans="21:23">
      <c r="U3846" s="693">
        <f t="shared" si="60"/>
        <v>43647</v>
      </c>
      <c r="V3846" s="694">
        <v>43657</v>
      </c>
      <c r="W3846" s="696">
        <v>3212.91</v>
      </c>
    </row>
    <row r="3847" spans="21:23">
      <c r="U3847" s="693">
        <f t="shared" si="60"/>
        <v>43647</v>
      </c>
      <c r="V3847" s="694">
        <v>43658</v>
      </c>
      <c r="W3847" s="696">
        <v>3197.5</v>
      </c>
    </row>
    <row r="3848" spans="21:23">
      <c r="U3848" s="693">
        <f t="shared" si="60"/>
        <v>43647</v>
      </c>
      <c r="V3848" s="694">
        <v>43659</v>
      </c>
      <c r="W3848" s="696">
        <v>3190.33</v>
      </c>
    </row>
    <row r="3849" spans="21:23">
      <c r="U3849" s="693">
        <f t="shared" si="60"/>
        <v>43647</v>
      </c>
      <c r="V3849" s="694">
        <v>43660</v>
      </c>
      <c r="W3849" s="696">
        <v>3190.33</v>
      </c>
    </row>
    <row r="3850" spans="21:23">
      <c r="U3850" s="693">
        <f t="shared" si="60"/>
        <v>43647</v>
      </c>
      <c r="V3850" s="694">
        <v>43661</v>
      </c>
      <c r="W3850" s="696">
        <v>3190.33</v>
      </c>
    </row>
    <row r="3851" spans="21:23">
      <c r="U3851" s="693">
        <f t="shared" si="60"/>
        <v>43647</v>
      </c>
      <c r="V3851" s="694">
        <v>43662</v>
      </c>
      <c r="W3851" s="696">
        <v>3190.66</v>
      </c>
    </row>
    <row r="3852" spans="21:23">
      <c r="U3852" s="693">
        <f t="shared" si="60"/>
        <v>43647</v>
      </c>
      <c r="V3852" s="694">
        <v>43663</v>
      </c>
      <c r="W3852" s="696">
        <v>3199.72</v>
      </c>
    </row>
    <row r="3853" spans="21:23">
      <c r="U3853" s="693">
        <f t="shared" si="60"/>
        <v>43647</v>
      </c>
      <c r="V3853" s="694">
        <v>43664</v>
      </c>
      <c r="W3853" s="696">
        <v>3189.21</v>
      </c>
    </row>
    <row r="3854" spans="21:23">
      <c r="U3854" s="693">
        <f t="shared" si="60"/>
        <v>43647</v>
      </c>
      <c r="V3854" s="694">
        <v>43665</v>
      </c>
      <c r="W3854" s="696">
        <v>3183.01</v>
      </c>
    </row>
    <row r="3855" spans="21:23">
      <c r="U3855" s="693">
        <f t="shared" si="60"/>
        <v>43647</v>
      </c>
      <c r="V3855" s="694">
        <v>43666</v>
      </c>
      <c r="W3855" s="696">
        <v>3169.51</v>
      </c>
    </row>
    <row r="3856" spans="21:23">
      <c r="U3856" s="693">
        <f t="shared" si="60"/>
        <v>43647</v>
      </c>
      <c r="V3856" s="694">
        <v>43667</v>
      </c>
      <c r="W3856" s="696">
        <v>3169.51</v>
      </c>
    </row>
    <row r="3857" spans="21:23">
      <c r="U3857" s="693">
        <f t="shared" si="60"/>
        <v>43647</v>
      </c>
      <c r="V3857" s="694">
        <v>43668</v>
      </c>
      <c r="W3857" s="696">
        <v>3169.51</v>
      </c>
    </row>
    <row r="3858" spans="21:23">
      <c r="U3858" s="693">
        <f t="shared" si="60"/>
        <v>43647</v>
      </c>
      <c r="V3858" s="694">
        <v>43669</v>
      </c>
      <c r="W3858" s="696">
        <v>3177.76</v>
      </c>
    </row>
    <row r="3859" spans="21:23">
      <c r="U3859" s="693">
        <f t="shared" si="60"/>
        <v>43647</v>
      </c>
      <c r="V3859" s="694">
        <v>43670</v>
      </c>
      <c r="W3859" s="696">
        <v>3188.01</v>
      </c>
    </row>
    <row r="3860" spans="21:23">
      <c r="U3860" s="693">
        <f t="shared" si="60"/>
        <v>43647</v>
      </c>
      <c r="V3860" s="694">
        <v>43671</v>
      </c>
      <c r="W3860" s="696">
        <v>3194.67</v>
      </c>
    </row>
    <row r="3861" spans="21:23">
      <c r="U3861" s="693">
        <f t="shared" si="60"/>
        <v>43647</v>
      </c>
      <c r="V3861" s="694">
        <v>43672</v>
      </c>
      <c r="W3861" s="696">
        <v>3213.09</v>
      </c>
    </row>
    <row r="3862" spans="21:23">
      <c r="U3862" s="693">
        <f t="shared" si="60"/>
        <v>43647</v>
      </c>
      <c r="V3862" s="694">
        <v>43673</v>
      </c>
      <c r="W3862" s="696">
        <v>3233.26</v>
      </c>
    </row>
    <row r="3863" spans="21:23">
      <c r="U3863" s="693">
        <f t="shared" si="60"/>
        <v>43647</v>
      </c>
      <c r="V3863" s="694">
        <v>43674</v>
      </c>
      <c r="W3863" s="696">
        <v>3233.26</v>
      </c>
    </row>
    <row r="3864" spans="21:23">
      <c r="U3864" s="693">
        <f t="shared" si="60"/>
        <v>43647</v>
      </c>
      <c r="V3864" s="694">
        <v>43675</v>
      </c>
      <c r="W3864" s="696">
        <v>3233.26</v>
      </c>
    </row>
    <row r="3865" spans="21:23">
      <c r="U3865" s="693">
        <f t="shared" si="60"/>
        <v>43647</v>
      </c>
      <c r="V3865" s="694">
        <v>43676</v>
      </c>
      <c r="W3865" s="696">
        <v>3262.81</v>
      </c>
    </row>
    <row r="3866" spans="21:23">
      <c r="U3866" s="693">
        <f t="shared" si="60"/>
        <v>43647</v>
      </c>
      <c r="V3866" s="694">
        <v>43677</v>
      </c>
      <c r="W3866" s="696">
        <v>3296.85</v>
      </c>
    </row>
    <row r="3867" spans="21:23">
      <c r="U3867" s="693">
        <f t="shared" si="60"/>
        <v>43678</v>
      </c>
      <c r="V3867" s="694">
        <v>43678</v>
      </c>
      <c r="W3867" s="696">
        <v>3291.79</v>
      </c>
    </row>
    <row r="3868" spans="21:23">
      <c r="U3868" s="693">
        <f t="shared" si="60"/>
        <v>43678</v>
      </c>
      <c r="V3868" s="694">
        <v>43679</v>
      </c>
      <c r="W3868" s="696">
        <v>3329.23</v>
      </c>
    </row>
    <row r="3869" spans="21:23">
      <c r="U3869" s="693">
        <f t="shared" si="60"/>
        <v>43678</v>
      </c>
      <c r="V3869" s="694">
        <v>43680</v>
      </c>
      <c r="W3869" s="696">
        <v>3365.78</v>
      </c>
    </row>
    <row r="3870" spans="21:23">
      <c r="U3870" s="693">
        <f t="shared" si="60"/>
        <v>43678</v>
      </c>
      <c r="V3870" s="694">
        <v>43681</v>
      </c>
      <c r="W3870" s="696">
        <v>3365.78</v>
      </c>
    </row>
    <row r="3871" spans="21:23">
      <c r="U3871" s="693">
        <f t="shared" si="60"/>
        <v>43678</v>
      </c>
      <c r="V3871" s="694">
        <v>43682</v>
      </c>
      <c r="W3871" s="696">
        <v>3365.78</v>
      </c>
    </row>
    <row r="3872" spans="21:23">
      <c r="U3872" s="693">
        <f t="shared" si="60"/>
        <v>43678</v>
      </c>
      <c r="V3872" s="694">
        <v>43683</v>
      </c>
      <c r="W3872" s="696">
        <v>3459.47</v>
      </c>
    </row>
    <row r="3873" spans="21:23">
      <c r="U3873" s="693">
        <f t="shared" si="60"/>
        <v>43678</v>
      </c>
      <c r="V3873" s="694">
        <v>43684</v>
      </c>
      <c r="W3873" s="696">
        <v>3431.28</v>
      </c>
    </row>
    <row r="3874" spans="21:23">
      <c r="U3874" s="693">
        <f t="shared" si="60"/>
        <v>43678</v>
      </c>
      <c r="V3874" s="694">
        <v>43685</v>
      </c>
      <c r="W3874" s="696">
        <v>3431.28</v>
      </c>
    </row>
    <row r="3875" spans="21:23">
      <c r="U3875" s="693">
        <f t="shared" si="60"/>
        <v>43678</v>
      </c>
      <c r="V3875" s="694">
        <v>43686</v>
      </c>
      <c r="W3875" s="696">
        <v>3394.61</v>
      </c>
    </row>
    <row r="3876" spans="21:23">
      <c r="U3876" s="693">
        <f t="shared" si="60"/>
        <v>43678</v>
      </c>
      <c r="V3876" s="694">
        <v>43687</v>
      </c>
      <c r="W3876" s="696">
        <v>3382.71</v>
      </c>
    </row>
    <row r="3877" spans="21:23">
      <c r="U3877" s="693">
        <f t="shared" si="60"/>
        <v>43678</v>
      </c>
      <c r="V3877" s="694">
        <v>43688</v>
      </c>
      <c r="W3877" s="696">
        <v>3382.71</v>
      </c>
    </row>
    <row r="3878" spans="21:23">
      <c r="U3878" s="693">
        <f t="shared" si="60"/>
        <v>43678</v>
      </c>
      <c r="V3878" s="694">
        <v>43689</v>
      </c>
      <c r="W3878" s="696">
        <v>3382.71</v>
      </c>
    </row>
    <row r="3879" spans="21:23">
      <c r="U3879" s="693">
        <f t="shared" si="60"/>
        <v>43678</v>
      </c>
      <c r="V3879" s="694">
        <v>43690</v>
      </c>
      <c r="W3879" s="696">
        <v>3436.26</v>
      </c>
    </row>
    <row r="3880" spans="21:23">
      <c r="U3880" s="693">
        <f t="shared" si="60"/>
        <v>43678</v>
      </c>
      <c r="V3880" s="694">
        <v>43691</v>
      </c>
      <c r="W3880" s="696">
        <v>3407.76</v>
      </c>
    </row>
    <row r="3881" spans="21:23">
      <c r="U3881" s="693">
        <f t="shared" si="60"/>
        <v>43678</v>
      </c>
      <c r="V3881" s="694">
        <v>43692</v>
      </c>
      <c r="W3881" s="696">
        <v>3449.27</v>
      </c>
    </row>
    <row r="3882" spans="21:23">
      <c r="U3882" s="693">
        <f t="shared" si="60"/>
        <v>43678</v>
      </c>
      <c r="V3882" s="694">
        <v>43693</v>
      </c>
      <c r="W3882" s="696">
        <v>3447.76</v>
      </c>
    </row>
    <row r="3883" spans="21:23">
      <c r="U3883" s="693">
        <f t="shared" si="60"/>
        <v>43678</v>
      </c>
      <c r="V3883" s="694">
        <v>43694</v>
      </c>
      <c r="W3883" s="696">
        <v>3441.4</v>
      </c>
    </row>
    <row r="3884" spans="21:23">
      <c r="U3884" s="693">
        <f t="shared" si="60"/>
        <v>43678</v>
      </c>
      <c r="V3884" s="694">
        <v>43695</v>
      </c>
      <c r="W3884" s="696">
        <v>3441.4</v>
      </c>
    </row>
    <row r="3885" spans="21:23">
      <c r="U3885" s="693">
        <f t="shared" si="60"/>
        <v>43678</v>
      </c>
      <c r="V3885" s="694">
        <v>43696</v>
      </c>
      <c r="W3885" s="696">
        <v>3441.4</v>
      </c>
    </row>
    <row r="3886" spans="21:23">
      <c r="U3886" s="693">
        <f t="shared" si="60"/>
        <v>43678</v>
      </c>
      <c r="V3886" s="694">
        <v>43697</v>
      </c>
      <c r="W3886" s="696">
        <v>3441.4</v>
      </c>
    </row>
    <row r="3887" spans="21:23">
      <c r="U3887" s="693">
        <f t="shared" si="60"/>
        <v>43678</v>
      </c>
      <c r="V3887" s="694">
        <v>43698</v>
      </c>
      <c r="W3887" s="696">
        <v>3420.99</v>
      </c>
    </row>
    <row r="3888" spans="21:23">
      <c r="U3888" s="693">
        <f t="shared" si="60"/>
        <v>43678</v>
      </c>
      <c r="V3888" s="694">
        <v>43699</v>
      </c>
      <c r="W3888" s="696">
        <v>3385.28</v>
      </c>
    </row>
    <row r="3889" spans="21:23">
      <c r="U3889" s="693">
        <f t="shared" si="60"/>
        <v>43678</v>
      </c>
      <c r="V3889" s="694">
        <v>43700</v>
      </c>
      <c r="W3889" s="696">
        <v>3376.99</v>
      </c>
    </row>
    <row r="3890" spans="21:23">
      <c r="U3890" s="693">
        <f t="shared" si="60"/>
        <v>43678</v>
      </c>
      <c r="V3890" s="694">
        <v>43701</v>
      </c>
      <c r="W3890" s="696">
        <v>3399.95</v>
      </c>
    </row>
    <row r="3891" spans="21:23">
      <c r="U3891" s="693">
        <f t="shared" si="60"/>
        <v>43678</v>
      </c>
      <c r="V3891" s="694">
        <v>43702</v>
      </c>
      <c r="W3891" s="696">
        <v>3399.95</v>
      </c>
    </row>
    <row r="3892" spans="21:23">
      <c r="U3892" s="693">
        <f t="shared" si="60"/>
        <v>43678</v>
      </c>
      <c r="V3892" s="694">
        <v>43703</v>
      </c>
      <c r="W3892" s="696">
        <v>3399.95</v>
      </c>
    </row>
    <row r="3893" spans="21:23">
      <c r="U3893" s="693">
        <f t="shared" si="60"/>
        <v>43678</v>
      </c>
      <c r="V3893" s="694">
        <v>43704</v>
      </c>
      <c r="W3893" s="696">
        <v>3432.85</v>
      </c>
    </row>
    <row r="3894" spans="21:23">
      <c r="U3894" s="693">
        <f t="shared" si="60"/>
        <v>43678</v>
      </c>
      <c r="V3894" s="694">
        <v>43705</v>
      </c>
      <c r="W3894" s="696">
        <v>3457.89</v>
      </c>
    </row>
    <row r="3895" spans="21:23">
      <c r="U3895" s="693">
        <f t="shared" si="60"/>
        <v>43678</v>
      </c>
      <c r="V3895" s="694">
        <v>43706</v>
      </c>
      <c r="W3895" s="696">
        <v>3477.53</v>
      </c>
    </row>
    <row r="3896" spans="21:23">
      <c r="U3896" s="693">
        <f t="shared" si="60"/>
        <v>43678</v>
      </c>
      <c r="V3896" s="694">
        <v>43707</v>
      </c>
      <c r="W3896" s="696">
        <v>3464.15</v>
      </c>
    </row>
    <row r="3897" spans="21:23">
      <c r="U3897" s="693">
        <f t="shared" si="60"/>
        <v>43678</v>
      </c>
      <c r="V3897" s="694">
        <v>43708</v>
      </c>
      <c r="W3897" s="696">
        <v>3427.29</v>
      </c>
    </row>
    <row r="3898" spans="21:23">
      <c r="U3898" s="693">
        <f t="shared" si="60"/>
        <v>43709</v>
      </c>
      <c r="V3898" s="694">
        <v>43709</v>
      </c>
      <c r="W3898" s="696">
        <v>3427.29</v>
      </c>
    </row>
    <row r="3899" spans="21:23">
      <c r="U3899" s="693">
        <f t="shared" si="60"/>
        <v>43709</v>
      </c>
      <c r="V3899" s="694">
        <v>43710</v>
      </c>
      <c r="W3899" s="696">
        <v>3427.29</v>
      </c>
    </row>
    <row r="3900" spans="21:23">
      <c r="U3900" s="693">
        <f t="shared" si="60"/>
        <v>43709</v>
      </c>
      <c r="V3900" s="694">
        <v>43711</v>
      </c>
      <c r="W3900" s="696">
        <v>3427.29</v>
      </c>
    </row>
    <row r="3901" spans="21:23">
      <c r="U3901" s="693">
        <f t="shared" si="60"/>
        <v>43709</v>
      </c>
      <c r="V3901" s="694">
        <v>43712</v>
      </c>
      <c r="W3901" s="696">
        <v>3438.61</v>
      </c>
    </row>
    <row r="3902" spans="21:23">
      <c r="U3902" s="693">
        <f t="shared" si="60"/>
        <v>43709</v>
      </c>
      <c r="V3902" s="694">
        <v>43713</v>
      </c>
      <c r="W3902" s="696">
        <v>3401.04</v>
      </c>
    </row>
    <row r="3903" spans="21:23">
      <c r="U3903" s="693">
        <f t="shared" si="60"/>
        <v>43709</v>
      </c>
      <c r="V3903" s="694">
        <v>43714</v>
      </c>
      <c r="W3903" s="696">
        <v>3377.39</v>
      </c>
    </row>
    <row r="3904" spans="21:23">
      <c r="U3904" s="693">
        <f t="shared" si="60"/>
        <v>43709</v>
      </c>
      <c r="V3904" s="694">
        <v>43715</v>
      </c>
      <c r="W3904" s="696">
        <v>3361.7</v>
      </c>
    </row>
    <row r="3905" spans="21:23">
      <c r="U3905" s="693">
        <f t="shared" si="60"/>
        <v>43709</v>
      </c>
      <c r="V3905" s="694">
        <v>43716</v>
      </c>
      <c r="W3905" s="696">
        <v>3361.7</v>
      </c>
    </row>
    <row r="3906" spans="21:23">
      <c r="U3906" s="693">
        <f t="shared" si="60"/>
        <v>43709</v>
      </c>
      <c r="V3906" s="694">
        <v>43717</v>
      </c>
      <c r="W3906" s="696">
        <v>3361.7</v>
      </c>
    </row>
    <row r="3907" spans="21:23">
      <c r="U3907" s="693">
        <f t="shared" ref="U3907:U3970" si="61">+DATE(YEAR(V3907),MONTH(V3907),1)</f>
        <v>43709</v>
      </c>
      <c r="V3907" s="694">
        <v>43718</v>
      </c>
      <c r="W3907" s="696">
        <v>3368.8</v>
      </c>
    </row>
    <row r="3908" spans="21:23">
      <c r="U3908" s="693">
        <f t="shared" si="61"/>
        <v>43709</v>
      </c>
      <c r="V3908" s="694">
        <v>43719</v>
      </c>
      <c r="W3908" s="696">
        <v>3373.75</v>
      </c>
    </row>
    <row r="3909" spans="21:23">
      <c r="U3909" s="693">
        <f t="shared" si="61"/>
        <v>43709</v>
      </c>
      <c r="V3909" s="694">
        <v>43720</v>
      </c>
      <c r="W3909" s="696">
        <v>3372.48</v>
      </c>
    </row>
    <row r="3910" spans="21:23">
      <c r="U3910" s="693">
        <f t="shared" si="61"/>
        <v>43709</v>
      </c>
      <c r="V3910" s="694">
        <v>43721</v>
      </c>
      <c r="W3910" s="696">
        <v>3359.2</v>
      </c>
    </row>
    <row r="3911" spans="21:23">
      <c r="U3911" s="693">
        <f t="shared" si="61"/>
        <v>43709</v>
      </c>
      <c r="V3911" s="694">
        <v>43722</v>
      </c>
      <c r="W3911" s="696">
        <v>3356.15</v>
      </c>
    </row>
    <row r="3912" spans="21:23">
      <c r="U3912" s="693">
        <f t="shared" si="61"/>
        <v>43709</v>
      </c>
      <c r="V3912" s="694">
        <v>43723</v>
      </c>
      <c r="W3912" s="696">
        <v>3356.15</v>
      </c>
    </row>
    <row r="3913" spans="21:23">
      <c r="U3913" s="693">
        <f t="shared" si="61"/>
        <v>43709</v>
      </c>
      <c r="V3913" s="694">
        <v>43724</v>
      </c>
      <c r="W3913" s="696">
        <v>3356.15</v>
      </c>
    </row>
    <row r="3914" spans="21:23">
      <c r="U3914" s="693">
        <f t="shared" si="61"/>
        <v>43709</v>
      </c>
      <c r="V3914" s="694">
        <v>43725</v>
      </c>
      <c r="W3914" s="696">
        <v>3364.43</v>
      </c>
    </row>
    <row r="3915" spans="21:23">
      <c r="U3915" s="693">
        <f t="shared" si="61"/>
        <v>43709</v>
      </c>
      <c r="V3915" s="694">
        <v>43726</v>
      </c>
      <c r="W3915" s="696">
        <v>3380.92</v>
      </c>
    </row>
    <row r="3916" spans="21:23">
      <c r="U3916" s="693">
        <f t="shared" si="61"/>
        <v>43709</v>
      </c>
      <c r="V3916" s="694">
        <v>43727</v>
      </c>
      <c r="W3916" s="696">
        <v>3377.79</v>
      </c>
    </row>
    <row r="3917" spans="21:23">
      <c r="U3917" s="693">
        <f t="shared" si="61"/>
        <v>43709</v>
      </c>
      <c r="V3917" s="694">
        <v>43728</v>
      </c>
      <c r="W3917" s="696">
        <v>3377.72</v>
      </c>
    </row>
    <row r="3918" spans="21:23">
      <c r="U3918" s="693">
        <f t="shared" si="61"/>
        <v>43709</v>
      </c>
      <c r="V3918" s="694">
        <v>43729</v>
      </c>
      <c r="W3918" s="696">
        <v>3402.32</v>
      </c>
    </row>
    <row r="3919" spans="21:23">
      <c r="U3919" s="693">
        <f t="shared" si="61"/>
        <v>43709</v>
      </c>
      <c r="V3919" s="694">
        <v>43730</v>
      </c>
      <c r="W3919" s="696">
        <v>3402.32</v>
      </c>
    </row>
    <row r="3920" spans="21:23">
      <c r="U3920" s="693">
        <f t="shared" si="61"/>
        <v>43709</v>
      </c>
      <c r="V3920" s="694">
        <v>43731</v>
      </c>
      <c r="W3920" s="696">
        <v>3402.32</v>
      </c>
    </row>
    <row r="3921" spans="21:23">
      <c r="U3921" s="693">
        <f t="shared" si="61"/>
        <v>43709</v>
      </c>
      <c r="V3921" s="694">
        <v>43732</v>
      </c>
      <c r="W3921" s="696">
        <v>3437.78</v>
      </c>
    </row>
    <row r="3922" spans="21:23">
      <c r="U3922" s="693">
        <f t="shared" si="61"/>
        <v>43709</v>
      </c>
      <c r="V3922" s="694">
        <v>43733</v>
      </c>
      <c r="W3922" s="696">
        <v>3438.66</v>
      </c>
    </row>
    <row r="3923" spans="21:23">
      <c r="U3923" s="693">
        <f t="shared" si="61"/>
        <v>43709</v>
      </c>
      <c r="V3923" s="694">
        <v>43734</v>
      </c>
      <c r="W3923" s="696">
        <v>3451.02</v>
      </c>
    </row>
    <row r="3924" spans="21:23">
      <c r="U3924" s="693">
        <f t="shared" si="61"/>
        <v>43709</v>
      </c>
      <c r="V3924" s="694">
        <v>43735</v>
      </c>
      <c r="W3924" s="696">
        <v>3435.71</v>
      </c>
    </row>
    <row r="3925" spans="21:23">
      <c r="U3925" s="693">
        <f t="shared" si="61"/>
        <v>43709</v>
      </c>
      <c r="V3925" s="694">
        <v>43736</v>
      </c>
      <c r="W3925" s="696">
        <v>3462.01</v>
      </c>
    </row>
    <row r="3926" spans="21:23">
      <c r="U3926" s="693">
        <f t="shared" si="61"/>
        <v>43709</v>
      </c>
      <c r="V3926" s="694">
        <v>43737</v>
      </c>
      <c r="W3926" s="696">
        <v>3462.01</v>
      </c>
    </row>
    <row r="3927" spans="21:23">
      <c r="U3927" s="693">
        <f t="shared" si="61"/>
        <v>43709</v>
      </c>
      <c r="V3927" s="694">
        <v>43738</v>
      </c>
      <c r="W3927" s="696">
        <v>3462.01</v>
      </c>
    </row>
    <row r="3928" spans="21:23">
      <c r="U3928" s="693">
        <f t="shared" si="61"/>
        <v>43739</v>
      </c>
      <c r="V3928" s="694">
        <v>43739</v>
      </c>
      <c r="W3928" s="696">
        <v>3477.45</v>
      </c>
    </row>
    <row r="3929" spans="21:23">
      <c r="U3929" s="693">
        <f t="shared" si="61"/>
        <v>43739</v>
      </c>
      <c r="V3929" s="694">
        <v>43740</v>
      </c>
      <c r="W3929" s="696">
        <v>3491.29</v>
      </c>
    </row>
    <row r="3930" spans="21:23">
      <c r="U3930" s="693">
        <f t="shared" si="61"/>
        <v>43739</v>
      </c>
      <c r="V3930" s="694">
        <v>43741</v>
      </c>
      <c r="W3930" s="696">
        <v>3497.34</v>
      </c>
    </row>
    <row r="3931" spans="21:23">
      <c r="U3931" s="693">
        <f t="shared" si="61"/>
        <v>43739</v>
      </c>
      <c r="V3931" s="694">
        <v>43742</v>
      </c>
      <c r="W3931" s="696">
        <v>3467.6</v>
      </c>
    </row>
    <row r="3932" spans="21:23">
      <c r="U3932" s="693">
        <f t="shared" si="61"/>
        <v>43739</v>
      </c>
      <c r="V3932" s="694">
        <v>43743</v>
      </c>
      <c r="W3932" s="696">
        <v>3430.28</v>
      </c>
    </row>
    <row r="3933" spans="21:23">
      <c r="U3933" s="693">
        <f t="shared" si="61"/>
        <v>43739</v>
      </c>
      <c r="V3933" s="694">
        <v>43744</v>
      </c>
      <c r="W3933" s="696">
        <v>3430.28</v>
      </c>
    </row>
    <row r="3934" spans="21:23">
      <c r="U3934" s="693">
        <f t="shared" si="61"/>
        <v>43739</v>
      </c>
      <c r="V3934" s="694">
        <v>43745</v>
      </c>
      <c r="W3934" s="696">
        <v>3430.28</v>
      </c>
    </row>
    <row r="3935" spans="21:23">
      <c r="U3935" s="693">
        <f t="shared" si="61"/>
        <v>43739</v>
      </c>
      <c r="V3935" s="694">
        <v>43746</v>
      </c>
      <c r="W3935" s="696">
        <v>3445.76</v>
      </c>
    </row>
    <row r="3936" spans="21:23">
      <c r="U3936" s="693">
        <f t="shared" si="61"/>
        <v>43739</v>
      </c>
      <c r="V3936" s="694">
        <v>43747</v>
      </c>
      <c r="W3936" s="696">
        <v>3452.57</v>
      </c>
    </row>
    <row r="3937" spans="21:23">
      <c r="U3937" s="693">
        <f t="shared" si="61"/>
        <v>43739</v>
      </c>
      <c r="V3937" s="694">
        <v>43748</v>
      </c>
      <c r="W3937" s="696">
        <v>3454.56</v>
      </c>
    </row>
    <row r="3938" spans="21:23">
      <c r="U3938" s="693">
        <f t="shared" si="61"/>
        <v>43739</v>
      </c>
      <c r="V3938" s="694">
        <v>43749</v>
      </c>
      <c r="W3938" s="696">
        <v>3458.42</v>
      </c>
    </row>
    <row r="3939" spans="21:23">
      <c r="U3939" s="693">
        <f t="shared" si="61"/>
        <v>43739</v>
      </c>
      <c r="V3939" s="694">
        <v>43750</v>
      </c>
      <c r="W3939" s="696">
        <v>3431.46</v>
      </c>
    </row>
    <row r="3940" spans="21:23">
      <c r="U3940" s="693">
        <f t="shared" si="61"/>
        <v>43739</v>
      </c>
      <c r="V3940" s="694">
        <v>43751</v>
      </c>
      <c r="W3940" s="696">
        <v>3431.46</v>
      </c>
    </row>
    <row r="3941" spans="21:23">
      <c r="U3941" s="693">
        <f t="shared" si="61"/>
        <v>43739</v>
      </c>
      <c r="V3941" s="694">
        <v>43752</v>
      </c>
      <c r="W3941" s="696">
        <v>3431.46</v>
      </c>
    </row>
    <row r="3942" spans="21:23">
      <c r="U3942" s="693">
        <f t="shared" si="61"/>
        <v>43739</v>
      </c>
      <c r="V3942" s="694">
        <v>43753</v>
      </c>
      <c r="W3942" s="696">
        <v>3431.46</v>
      </c>
    </row>
    <row r="3943" spans="21:23">
      <c r="U3943" s="693">
        <f t="shared" si="61"/>
        <v>43739</v>
      </c>
      <c r="V3943" s="694">
        <v>43754</v>
      </c>
      <c r="W3943" s="696">
        <v>3451.33</v>
      </c>
    </row>
    <row r="3944" spans="21:23">
      <c r="U3944" s="693">
        <f t="shared" si="61"/>
        <v>43739</v>
      </c>
      <c r="V3944" s="694">
        <v>43755</v>
      </c>
      <c r="W3944" s="696">
        <v>3459.55</v>
      </c>
    </row>
    <row r="3945" spans="21:23">
      <c r="U3945" s="693">
        <f t="shared" si="61"/>
        <v>43739</v>
      </c>
      <c r="V3945" s="694">
        <v>43756</v>
      </c>
      <c r="W3945" s="696">
        <v>3465.35</v>
      </c>
    </row>
    <row r="3946" spans="21:23">
      <c r="U3946" s="693">
        <f t="shared" si="61"/>
        <v>43739</v>
      </c>
      <c r="V3946" s="694">
        <v>43757</v>
      </c>
      <c r="W3946" s="696">
        <v>3428.63</v>
      </c>
    </row>
    <row r="3947" spans="21:23">
      <c r="U3947" s="693">
        <f t="shared" si="61"/>
        <v>43739</v>
      </c>
      <c r="V3947" s="694">
        <v>43758</v>
      </c>
      <c r="W3947" s="696">
        <v>3428.63</v>
      </c>
    </row>
    <row r="3948" spans="21:23">
      <c r="U3948" s="693">
        <f t="shared" si="61"/>
        <v>43739</v>
      </c>
      <c r="V3948" s="694">
        <v>43759</v>
      </c>
      <c r="W3948" s="696">
        <v>3428.63</v>
      </c>
    </row>
    <row r="3949" spans="21:23">
      <c r="U3949" s="693">
        <f t="shared" si="61"/>
        <v>43739</v>
      </c>
      <c r="V3949" s="694">
        <v>43760</v>
      </c>
      <c r="W3949" s="696">
        <v>3442.78</v>
      </c>
    </row>
    <row r="3950" spans="21:23">
      <c r="U3950" s="693">
        <f t="shared" si="61"/>
        <v>43739</v>
      </c>
      <c r="V3950" s="694">
        <v>43761</v>
      </c>
      <c r="W3950" s="696">
        <v>3430.3</v>
      </c>
    </row>
    <row r="3951" spans="21:23">
      <c r="U3951" s="693">
        <f t="shared" si="61"/>
        <v>43739</v>
      </c>
      <c r="V3951" s="694">
        <v>43762</v>
      </c>
      <c r="W3951" s="696">
        <v>3409.29</v>
      </c>
    </row>
    <row r="3952" spans="21:23">
      <c r="U3952" s="693">
        <f t="shared" si="61"/>
        <v>43739</v>
      </c>
      <c r="V3952" s="694">
        <v>43763</v>
      </c>
      <c r="W3952" s="696">
        <v>3387.72</v>
      </c>
    </row>
    <row r="3953" spans="21:23">
      <c r="U3953" s="693">
        <f t="shared" si="61"/>
        <v>43739</v>
      </c>
      <c r="V3953" s="694">
        <v>43764</v>
      </c>
      <c r="W3953" s="696">
        <v>3395.25</v>
      </c>
    </row>
    <row r="3954" spans="21:23">
      <c r="U3954" s="693">
        <f t="shared" si="61"/>
        <v>43739</v>
      </c>
      <c r="V3954" s="694">
        <v>43765</v>
      </c>
      <c r="W3954" s="696">
        <v>3395.25</v>
      </c>
    </row>
    <row r="3955" spans="21:23">
      <c r="U3955" s="693">
        <f t="shared" si="61"/>
        <v>43739</v>
      </c>
      <c r="V3955" s="694">
        <v>43766</v>
      </c>
      <c r="W3955" s="696">
        <v>3395.25</v>
      </c>
    </row>
    <row r="3956" spans="21:23">
      <c r="U3956" s="693">
        <f t="shared" si="61"/>
        <v>43739</v>
      </c>
      <c r="V3956" s="694">
        <v>43767</v>
      </c>
      <c r="W3956" s="696">
        <v>3382.19</v>
      </c>
    </row>
    <row r="3957" spans="21:23">
      <c r="U3957" s="693">
        <f t="shared" si="61"/>
        <v>43739</v>
      </c>
      <c r="V3957" s="694">
        <v>43768</v>
      </c>
      <c r="W3957" s="696">
        <v>3380.9</v>
      </c>
    </row>
    <row r="3958" spans="21:23">
      <c r="U3958" s="693">
        <f t="shared" si="61"/>
        <v>43739</v>
      </c>
      <c r="V3958" s="694">
        <v>43769</v>
      </c>
      <c r="W3958" s="696">
        <v>3389.94</v>
      </c>
    </row>
    <row r="3959" spans="21:23">
      <c r="U3959" s="693">
        <f t="shared" si="61"/>
        <v>43770</v>
      </c>
      <c r="V3959" s="694">
        <v>43770</v>
      </c>
      <c r="W3959" s="696">
        <v>3383.29</v>
      </c>
    </row>
    <row r="3960" spans="21:23">
      <c r="U3960" s="693">
        <f t="shared" si="61"/>
        <v>43770</v>
      </c>
      <c r="V3960" s="694">
        <v>43771</v>
      </c>
      <c r="W3960" s="696">
        <v>3339.19</v>
      </c>
    </row>
    <row r="3961" spans="21:23">
      <c r="U3961" s="693">
        <f t="shared" si="61"/>
        <v>43770</v>
      </c>
      <c r="V3961" s="694">
        <v>43772</v>
      </c>
      <c r="W3961" s="696">
        <v>3339.19</v>
      </c>
    </row>
    <row r="3962" spans="21:23">
      <c r="U3962" s="693">
        <f t="shared" si="61"/>
        <v>43770</v>
      </c>
      <c r="V3962" s="694">
        <v>43773</v>
      </c>
      <c r="W3962" s="696">
        <v>3339.19</v>
      </c>
    </row>
    <row r="3963" spans="21:23">
      <c r="U3963" s="693">
        <f t="shared" si="61"/>
        <v>43770</v>
      </c>
      <c r="V3963" s="694">
        <v>43774</v>
      </c>
      <c r="W3963" s="696">
        <v>3339.19</v>
      </c>
    </row>
    <row r="3964" spans="21:23">
      <c r="U3964" s="693">
        <f t="shared" si="61"/>
        <v>43770</v>
      </c>
      <c r="V3964" s="694">
        <v>43775</v>
      </c>
      <c r="W3964" s="696">
        <v>3318.47</v>
      </c>
    </row>
    <row r="3965" spans="21:23">
      <c r="U3965" s="693">
        <f t="shared" si="61"/>
        <v>43770</v>
      </c>
      <c r="V3965" s="694">
        <v>43776</v>
      </c>
      <c r="W3965" s="696">
        <v>3319.64</v>
      </c>
    </row>
    <row r="3966" spans="21:23">
      <c r="U3966" s="693">
        <f t="shared" si="61"/>
        <v>43770</v>
      </c>
      <c r="V3966" s="694">
        <v>43777</v>
      </c>
      <c r="W3966" s="696">
        <v>3327.02</v>
      </c>
    </row>
    <row r="3967" spans="21:23">
      <c r="U3967" s="693">
        <f t="shared" si="61"/>
        <v>43770</v>
      </c>
      <c r="V3967" s="694">
        <v>43778</v>
      </c>
      <c r="W3967" s="696">
        <v>3341.01</v>
      </c>
    </row>
    <row r="3968" spans="21:23">
      <c r="U3968" s="693">
        <f t="shared" si="61"/>
        <v>43770</v>
      </c>
      <c r="V3968" s="694">
        <v>43779</v>
      </c>
      <c r="W3968" s="696">
        <v>3341.01</v>
      </c>
    </row>
    <row r="3969" spans="21:23">
      <c r="U3969" s="693">
        <f t="shared" si="61"/>
        <v>43770</v>
      </c>
      <c r="V3969" s="694">
        <v>43780</v>
      </c>
      <c r="W3969" s="696">
        <v>3341.01</v>
      </c>
    </row>
    <row r="3970" spans="21:23">
      <c r="U3970" s="693">
        <f t="shared" si="61"/>
        <v>43770</v>
      </c>
      <c r="V3970" s="694">
        <v>43781</v>
      </c>
      <c r="W3970" s="696">
        <v>3341.01</v>
      </c>
    </row>
    <row r="3971" spans="21:23">
      <c r="U3971" s="693">
        <f t="shared" ref="U3971:U4034" si="62">+DATE(YEAR(V3971),MONTH(V3971),1)</f>
        <v>43770</v>
      </c>
      <c r="V3971" s="694">
        <v>43782</v>
      </c>
      <c r="W3971" s="696">
        <v>3384.21</v>
      </c>
    </row>
    <row r="3972" spans="21:23">
      <c r="U3972" s="693">
        <f t="shared" si="62"/>
        <v>43770</v>
      </c>
      <c r="V3972" s="694">
        <v>43783</v>
      </c>
      <c r="W3972" s="696">
        <v>3441.89</v>
      </c>
    </row>
    <row r="3973" spans="21:23">
      <c r="U3973" s="693">
        <f t="shared" si="62"/>
        <v>43770</v>
      </c>
      <c r="V3973" s="694">
        <v>43784</v>
      </c>
      <c r="W3973" s="696">
        <v>3452.67</v>
      </c>
    </row>
    <row r="3974" spans="21:23">
      <c r="U3974" s="693">
        <f t="shared" si="62"/>
        <v>43770</v>
      </c>
      <c r="V3974" s="694">
        <v>43785</v>
      </c>
      <c r="W3974" s="696">
        <v>3421.26</v>
      </c>
    </row>
    <row r="3975" spans="21:23">
      <c r="U3975" s="693">
        <f t="shared" si="62"/>
        <v>43770</v>
      </c>
      <c r="V3975" s="694">
        <v>43786</v>
      </c>
      <c r="W3975" s="696">
        <v>3421.26</v>
      </c>
    </row>
    <row r="3976" spans="21:23">
      <c r="U3976" s="693">
        <f t="shared" si="62"/>
        <v>43770</v>
      </c>
      <c r="V3976" s="694">
        <v>43787</v>
      </c>
      <c r="W3976" s="696">
        <v>3421.26</v>
      </c>
    </row>
    <row r="3977" spans="21:23">
      <c r="U3977" s="693">
        <f t="shared" si="62"/>
        <v>43770</v>
      </c>
      <c r="V3977" s="694">
        <v>43788</v>
      </c>
      <c r="W3977" s="696">
        <v>3447.74</v>
      </c>
    </row>
    <row r="3978" spans="21:23">
      <c r="U3978" s="693">
        <f t="shared" si="62"/>
        <v>43770</v>
      </c>
      <c r="V3978" s="694">
        <v>43789</v>
      </c>
      <c r="W3978" s="696">
        <v>3434.49</v>
      </c>
    </row>
    <row r="3979" spans="21:23">
      <c r="U3979" s="693">
        <f t="shared" si="62"/>
        <v>43770</v>
      </c>
      <c r="V3979" s="694">
        <v>43790</v>
      </c>
      <c r="W3979" s="696">
        <v>3445.95</v>
      </c>
    </row>
    <row r="3980" spans="21:23">
      <c r="U3980" s="693">
        <f t="shared" si="62"/>
        <v>43770</v>
      </c>
      <c r="V3980" s="694">
        <v>43791</v>
      </c>
      <c r="W3980" s="696">
        <v>3440.66</v>
      </c>
    </row>
    <row r="3981" spans="21:23">
      <c r="U3981" s="693">
        <f t="shared" si="62"/>
        <v>43770</v>
      </c>
      <c r="V3981" s="694">
        <v>43792</v>
      </c>
      <c r="W3981" s="696">
        <v>3410.77</v>
      </c>
    </row>
    <row r="3982" spans="21:23">
      <c r="U3982" s="693">
        <f t="shared" si="62"/>
        <v>43770</v>
      </c>
      <c r="V3982" s="694">
        <v>43793</v>
      </c>
      <c r="W3982" s="696">
        <v>3410.77</v>
      </c>
    </row>
    <row r="3983" spans="21:23">
      <c r="U3983" s="693">
        <f t="shared" si="62"/>
        <v>43770</v>
      </c>
      <c r="V3983" s="694">
        <v>43794</v>
      </c>
      <c r="W3983" s="696">
        <v>3410.77</v>
      </c>
    </row>
    <row r="3984" spans="21:23">
      <c r="U3984" s="693">
        <f t="shared" si="62"/>
        <v>43770</v>
      </c>
      <c r="V3984" s="694">
        <v>43795</v>
      </c>
      <c r="W3984" s="696">
        <v>3433.94</v>
      </c>
    </row>
    <row r="3985" spans="21:23">
      <c r="U3985" s="693">
        <f t="shared" si="62"/>
        <v>43770</v>
      </c>
      <c r="V3985" s="694">
        <v>43796</v>
      </c>
      <c r="W3985" s="696">
        <v>3469.01</v>
      </c>
    </row>
    <row r="3986" spans="21:23">
      <c r="U3986" s="693">
        <f t="shared" si="62"/>
        <v>43770</v>
      </c>
      <c r="V3986" s="694">
        <v>43797</v>
      </c>
      <c r="W3986" s="696">
        <v>3502.92</v>
      </c>
    </row>
    <row r="3987" spans="21:23">
      <c r="U3987" s="693">
        <f t="shared" si="62"/>
        <v>43770</v>
      </c>
      <c r="V3987" s="694">
        <v>43798</v>
      </c>
      <c r="W3987" s="696">
        <v>3502.92</v>
      </c>
    </row>
    <row r="3988" spans="21:23">
      <c r="U3988" s="693">
        <f t="shared" si="62"/>
        <v>43770</v>
      </c>
      <c r="V3988" s="694">
        <v>43799</v>
      </c>
      <c r="W3988" s="696">
        <v>3522.48</v>
      </c>
    </row>
    <row r="3989" spans="21:23">
      <c r="U3989" s="693">
        <f t="shared" si="62"/>
        <v>43800</v>
      </c>
      <c r="V3989" s="694">
        <v>43800</v>
      </c>
      <c r="W3989" s="696">
        <v>3522.48</v>
      </c>
    </row>
    <row r="3990" spans="21:23">
      <c r="U3990" s="693">
        <f t="shared" si="62"/>
        <v>43800</v>
      </c>
      <c r="V3990" s="694">
        <v>43801</v>
      </c>
      <c r="W3990" s="696">
        <v>3522.48</v>
      </c>
    </row>
    <row r="3991" spans="21:23">
      <c r="U3991" s="693">
        <f t="shared" si="62"/>
        <v>43800</v>
      </c>
      <c r="V3991" s="694">
        <v>43802</v>
      </c>
      <c r="W3991" s="696">
        <v>3508.39</v>
      </c>
    </row>
    <row r="3992" spans="21:23">
      <c r="U3992" s="693">
        <f t="shared" si="62"/>
        <v>43800</v>
      </c>
      <c r="V3992" s="694">
        <v>43803</v>
      </c>
      <c r="W3992" s="696">
        <v>3506.67</v>
      </c>
    </row>
    <row r="3993" spans="21:23">
      <c r="U3993" s="693">
        <f t="shared" si="62"/>
        <v>43800</v>
      </c>
      <c r="V3993" s="694">
        <v>43804</v>
      </c>
      <c r="W3993" s="696">
        <v>3478.57</v>
      </c>
    </row>
    <row r="3994" spans="21:23">
      <c r="U3994" s="693">
        <f t="shared" si="62"/>
        <v>43800</v>
      </c>
      <c r="V3994" s="694">
        <v>43805</v>
      </c>
      <c r="W3994" s="696">
        <v>3459.97</v>
      </c>
    </row>
    <row r="3995" spans="21:23">
      <c r="U3995" s="693">
        <f t="shared" si="62"/>
        <v>43800</v>
      </c>
      <c r="V3995" s="694">
        <v>43806</v>
      </c>
      <c r="W3995" s="696">
        <v>3430.31</v>
      </c>
    </row>
    <row r="3996" spans="21:23">
      <c r="U3996" s="693">
        <f t="shared" si="62"/>
        <v>43800</v>
      </c>
      <c r="V3996" s="694">
        <v>43807</v>
      </c>
      <c r="W3996" s="696">
        <v>3430.31</v>
      </c>
    </row>
    <row r="3997" spans="21:23">
      <c r="U3997" s="693">
        <f t="shared" si="62"/>
        <v>43800</v>
      </c>
      <c r="V3997" s="694">
        <v>43808</v>
      </c>
      <c r="W3997" s="696">
        <v>3430.31</v>
      </c>
    </row>
    <row r="3998" spans="21:23">
      <c r="U3998" s="693">
        <f t="shared" si="62"/>
        <v>43800</v>
      </c>
      <c r="V3998" s="694">
        <v>43809</v>
      </c>
      <c r="W3998" s="696">
        <v>3418.48</v>
      </c>
    </row>
    <row r="3999" spans="21:23">
      <c r="U3999" s="693">
        <f t="shared" si="62"/>
        <v>43800</v>
      </c>
      <c r="V3999" s="694">
        <v>43810</v>
      </c>
      <c r="W3999" s="696">
        <v>3418.61</v>
      </c>
    </row>
    <row r="4000" spans="21:23">
      <c r="U4000" s="693">
        <f t="shared" si="62"/>
        <v>43800</v>
      </c>
      <c r="V4000" s="694">
        <v>43811</v>
      </c>
      <c r="W4000" s="696">
        <v>3387.73</v>
      </c>
    </row>
    <row r="4001" spans="21:23">
      <c r="U4001" s="693">
        <f t="shared" si="62"/>
        <v>43800</v>
      </c>
      <c r="V4001" s="694">
        <v>43812</v>
      </c>
      <c r="W4001" s="696">
        <v>3372.23</v>
      </c>
    </row>
    <row r="4002" spans="21:23">
      <c r="U4002" s="693">
        <f t="shared" si="62"/>
        <v>43800</v>
      </c>
      <c r="V4002" s="694">
        <v>43813</v>
      </c>
      <c r="W4002" s="696">
        <v>3374.29</v>
      </c>
    </row>
    <row r="4003" spans="21:23">
      <c r="U4003" s="693">
        <f t="shared" si="62"/>
        <v>43800</v>
      </c>
      <c r="V4003" s="694">
        <v>43814</v>
      </c>
      <c r="W4003" s="696">
        <v>3374.29</v>
      </c>
    </row>
    <row r="4004" spans="21:23">
      <c r="U4004" s="693">
        <f t="shared" si="62"/>
        <v>43800</v>
      </c>
      <c r="V4004" s="694">
        <v>43815</v>
      </c>
      <c r="W4004" s="696">
        <v>3374.29</v>
      </c>
    </row>
    <row r="4005" spans="21:23">
      <c r="U4005" s="693">
        <f t="shared" si="62"/>
        <v>43800</v>
      </c>
      <c r="V4005" s="694">
        <v>43816</v>
      </c>
      <c r="W4005" s="696">
        <v>3364.24</v>
      </c>
    </row>
    <row r="4006" spans="21:23">
      <c r="U4006" s="693">
        <f t="shared" si="62"/>
        <v>43800</v>
      </c>
      <c r="V4006" s="694">
        <v>43817</v>
      </c>
      <c r="W4006" s="696">
        <v>3347.86</v>
      </c>
    </row>
    <row r="4007" spans="21:23">
      <c r="U4007" s="693">
        <f t="shared" si="62"/>
        <v>43800</v>
      </c>
      <c r="V4007" s="694">
        <v>43818</v>
      </c>
      <c r="W4007" s="696">
        <v>3329.98</v>
      </c>
    </row>
    <row r="4008" spans="21:23">
      <c r="U4008" s="693">
        <f t="shared" si="62"/>
        <v>43800</v>
      </c>
      <c r="V4008" s="694">
        <v>43819</v>
      </c>
      <c r="W4008" s="696">
        <v>3322.38</v>
      </c>
    </row>
    <row r="4009" spans="21:23">
      <c r="U4009" s="693">
        <f t="shared" si="62"/>
        <v>43800</v>
      </c>
      <c r="V4009" s="694">
        <v>43820</v>
      </c>
      <c r="W4009" s="696">
        <v>3325.47</v>
      </c>
    </row>
    <row r="4010" spans="21:23">
      <c r="U4010" s="693">
        <f t="shared" si="62"/>
        <v>43800</v>
      </c>
      <c r="V4010" s="694">
        <v>43821</v>
      </c>
      <c r="W4010" s="696">
        <v>3325.47</v>
      </c>
    </row>
    <row r="4011" spans="21:23">
      <c r="U4011" s="693">
        <f t="shared" si="62"/>
        <v>43800</v>
      </c>
      <c r="V4011" s="694">
        <v>43822</v>
      </c>
      <c r="W4011" s="696">
        <v>3325.47</v>
      </c>
    </row>
    <row r="4012" spans="21:23">
      <c r="U4012" s="693">
        <f t="shared" si="62"/>
        <v>43800</v>
      </c>
      <c r="V4012" s="694">
        <v>43823</v>
      </c>
      <c r="W4012" s="696">
        <v>3316.92</v>
      </c>
    </row>
    <row r="4013" spans="21:23">
      <c r="U4013" s="693">
        <f t="shared" si="62"/>
        <v>43800</v>
      </c>
      <c r="V4013" s="694">
        <v>43824</v>
      </c>
      <c r="W4013" s="696">
        <v>3305.84</v>
      </c>
    </row>
    <row r="4014" spans="21:23">
      <c r="U4014" s="693">
        <f t="shared" si="62"/>
        <v>43800</v>
      </c>
      <c r="V4014" s="694">
        <v>43825</v>
      </c>
      <c r="W4014" s="696">
        <v>3305.84</v>
      </c>
    </row>
    <row r="4015" spans="21:23">
      <c r="U4015" s="693">
        <f t="shared" si="62"/>
        <v>43800</v>
      </c>
      <c r="V4015" s="694">
        <v>43826</v>
      </c>
      <c r="W4015" s="696">
        <v>3281.4</v>
      </c>
    </row>
    <row r="4016" spans="21:23">
      <c r="U4016" s="693">
        <f t="shared" si="62"/>
        <v>43800</v>
      </c>
      <c r="V4016" s="694">
        <v>43827</v>
      </c>
      <c r="W4016" s="696">
        <v>3294.05</v>
      </c>
    </row>
    <row r="4017" spans="21:23">
      <c r="U4017" s="693">
        <f t="shared" si="62"/>
        <v>43800</v>
      </c>
      <c r="V4017" s="694">
        <v>43828</v>
      </c>
      <c r="W4017" s="696">
        <v>3294.05</v>
      </c>
    </row>
    <row r="4018" spans="21:23">
      <c r="U4018" s="693">
        <f t="shared" si="62"/>
        <v>43800</v>
      </c>
      <c r="V4018" s="694">
        <v>43829</v>
      </c>
      <c r="W4018" s="696">
        <v>3294.05</v>
      </c>
    </row>
    <row r="4019" spans="21:23">
      <c r="U4019" s="693">
        <f t="shared" si="62"/>
        <v>43800</v>
      </c>
      <c r="V4019" s="694">
        <v>43830</v>
      </c>
      <c r="W4019" s="696">
        <v>3277.14</v>
      </c>
    </row>
    <row r="4020" spans="21:23">
      <c r="U4020" s="693">
        <f t="shared" si="62"/>
        <v>43831</v>
      </c>
      <c r="V4020" s="694">
        <v>43831</v>
      </c>
      <c r="W4020" s="696">
        <v>3277.14</v>
      </c>
    </row>
    <row r="4021" spans="21:23">
      <c r="U4021" s="693">
        <f t="shared" si="62"/>
        <v>43831</v>
      </c>
      <c r="V4021" s="694">
        <v>43832</v>
      </c>
      <c r="W4021" s="696">
        <v>3277.14</v>
      </c>
    </row>
    <row r="4022" spans="21:23">
      <c r="U4022" s="693">
        <f t="shared" si="62"/>
        <v>43831</v>
      </c>
      <c r="V4022" s="694">
        <v>43833</v>
      </c>
      <c r="W4022" s="696">
        <v>3258.84</v>
      </c>
    </row>
    <row r="4023" spans="21:23">
      <c r="U4023" s="693">
        <f t="shared" si="62"/>
        <v>43831</v>
      </c>
      <c r="V4023" s="694">
        <v>43834</v>
      </c>
      <c r="W4023" s="696">
        <v>3262.05</v>
      </c>
    </row>
    <row r="4024" spans="21:23">
      <c r="U4024" s="693">
        <f t="shared" si="62"/>
        <v>43831</v>
      </c>
      <c r="V4024" s="694">
        <v>43835</v>
      </c>
      <c r="W4024" s="696">
        <v>3262.05</v>
      </c>
    </row>
    <row r="4025" spans="21:23">
      <c r="U4025" s="693">
        <f t="shared" si="62"/>
        <v>43831</v>
      </c>
      <c r="V4025" s="694">
        <v>43836</v>
      </c>
      <c r="W4025" s="696">
        <v>3262.05</v>
      </c>
    </row>
    <row r="4026" spans="21:23">
      <c r="U4026" s="693">
        <f t="shared" si="62"/>
        <v>43831</v>
      </c>
      <c r="V4026" s="694">
        <v>43837</v>
      </c>
      <c r="W4026" s="696">
        <v>3262.05</v>
      </c>
    </row>
    <row r="4027" spans="21:23">
      <c r="U4027" s="693">
        <f t="shared" si="62"/>
        <v>43831</v>
      </c>
      <c r="V4027" s="694">
        <v>43838</v>
      </c>
      <c r="W4027" s="696">
        <v>3264.26</v>
      </c>
    </row>
    <row r="4028" spans="21:23">
      <c r="U4028" s="693">
        <f t="shared" si="62"/>
        <v>43831</v>
      </c>
      <c r="V4028" s="694">
        <v>43839</v>
      </c>
      <c r="W4028" s="696">
        <v>3254.42</v>
      </c>
    </row>
    <row r="4029" spans="21:23">
      <c r="U4029" s="693">
        <f t="shared" si="62"/>
        <v>43831</v>
      </c>
      <c r="V4029" s="694">
        <v>43840</v>
      </c>
      <c r="W4029" s="696">
        <v>3253.89</v>
      </c>
    </row>
    <row r="4030" spans="21:23">
      <c r="U4030" s="693">
        <f t="shared" si="62"/>
        <v>43831</v>
      </c>
      <c r="V4030" s="694">
        <v>43841</v>
      </c>
      <c r="W4030" s="696">
        <v>3272.62</v>
      </c>
    </row>
    <row r="4031" spans="21:23">
      <c r="U4031" s="693">
        <f t="shared" si="62"/>
        <v>43831</v>
      </c>
      <c r="V4031" s="694">
        <v>43842</v>
      </c>
      <c r="W4031" s="696">
        <v>3272.62</v>
      </c>
    </row>
    <row r="4032" spans="21:23">
      <c r="U4032" s="693">
        <f t="shared" si="62"/>
        <v>43831</v>
      </c>
      <c r="V4032" s="694">
        <v>43843</v>
      </c>
      <c r="W4032" s="696">
        <v>3272.62</v>
      </c>
    </row>
    <row r="4033" spans="21:23">
      <c r="U4033" s="693">
        <f t="shared" si="62"/>
        <v>43831</v>
      </c>
      <c r="V4033" s="694">
        <v>43844</v>
      </c>
      <c r="W4033" s="696">
        <v>3288.05</v>
      </c>
    </row>
    <row r="4034" spans="21:23">
      <c r="U4034" s="693">
        <f t="shared" si="62"/>
        <v>43831</v>
      </c>
      <c r="V4034" s="694">
        <v>43845</v>
      </c>
      <c r="W4034" s="696">
        <v>3278.83</v>
      </c>
    </row>
    <row r="4035" spans="21:23">
      <c r="U4035" s="693">
        <f t="shared" ref="U4035:U4098" si="63">+DATE(YEAR(V4035),MONTH(V4035),1)</f>
        <v>43831</v>
      </c>
      <c r="V4035" s="694">
        <v>43846</v>
      </c>
      <c r="W4035" s="696">
        <v>3296.74</v>
      </c>
    </row>
    <row r="4036" spans="21:23">
      <c r="U4036" s="693">
        <f t="shared" si="63"/>
        <v>43831</v>
      </c>
      <c r="V4036" s="694">
        <v>43847</v>
      </c>
      <c r="W4036" s="696">
        <v>3313.4</v>
      </c>
    </row>
    <row r="4037" spans="21:23">
      <c r="U4037" s="693">
        <f t="shared" si="63"/>
        <v>43831</v>
      </c>
      <c r="V4037" s="694">
        <v>43848</v>
      </c>
      <c r="W4037" s="696">
        <v>3320.77</v>
      </c>
    </row>
    <row r="4038" spans="21:23">
      <c r="U4038" s="693">
        <f t="shared" si="63"/>
        <v>43831</v>
      </c>
      <c r="V4038" s="694">
        <v>43849</v>
      </c>
      <c r="W4038" s="696">
        <v>3320.77</v>
      </c>
    </row>
    <row r="4039" spans="21:23">
      <c r="U4039" s="693">
        <f t="shared" si="63"/>
        <v>43831</v>
      </c>
      <c r="V4039" s="694">
        <v>43850</v>
      </c>
      <c r="W4039" s="696">
        <v>3320.77</v>
      </c>
    </row>
    <row r="4040" spans="21:23">
      <c r="U4040" s="693">
        <f t="shared" si="63"/>
        <v>43831</v>
      </c>
      <c r="V4040" s="694">
        <v>43851</v>
      </c>
      <c r="W4040" s="696">
        <v>3320.77</v>
      </c>
    </row>
    <row r="4041" spans="21:23">
      <c r="U4041" s="693">
        <f t="shared" si="63"/>
        <v>43831</v>
      </c>
      <c r="V4041" s="694">
        <v>43852</v>
      </c>
      <c r="W4041" s="696">
        <v>3347.91</v>
      </c>
    </row>
    <row r="4042" spans="21:23">
      <c r="U4042" s="693">
        <f t="shared" si="63"/>
        <v>43831</v>
      </c>
      <c r="V4042" s="694">
        <v>43853</v>
      </c>
      <c r="W4042" s="696">
        <v>3337.77</v>
      </c>
    </row>
    <row r="4043" spans="21:23">
      <c r="U4043" s="693">
        <f t="shared" si="63"/>
        <v>43831</v>
      </c>
      <c r="V4043" s="694">
        <v>43854</v>
      </c>
      <c r="W4043" s="696">
        <v>3353.76</v>
      </c>
    </row>
    <row r="4044" spans="21:23">
      <c r="U4044" s="693">
        <f t="shared" si="63"/>
        <v>43831</v>
      </c>
      <c r="V4044" s="694">
        <v>43855</v>
      </c>
      <c r="W4044" s="696">
        <v>3366.01</v>
      </c>
    </row>
    <row r="4045" spans="21:23">
      <c r="U4045" s="693">
        <f t="shared" si="63"/>
        <v>43831</v>
      </c>
      <c r="V4045" s="694">
        <v>43856</v>
      </c>
      <c r="W4045" s="696">
        <v>3366.01</v>
      </c>
    </row>
    <row r="4046" spans="21:23">
      <c r="U4046" s="693">
        <f t="shared" si="63"/>
        <v>43831</v>
      </c>
      <c r="V4046" s="694">
        <v>43857</v>
      </c>
      <c r="W4046" s="696">
        <v>3366.01</v>
      </c>
    </row>
    <row r="4047" spans="21:23">
      <c r="U4047" s="693">
        <f t="shared" si="63"/>
        <v>43831</v>
      </c>
      <c r="V4047" s="694">
        <v>43858</v>
      </c>
      <c r="W4047" s="696">
        <v>3398.4</v>
      </c>
    </row>
    <row r="4048" spans="21:23">
      <c r="U4048" s="693">
        <f t="shared" si="63"/>
        <v>43831</v>
      </c>
      <c r="V4048" s="694">
        <v>43859</v>
      </c>
      <c r="W4048" s="696">
        <v>3392.6</v>
      </c>
    </row>
    <row r="4049" spans="21:23">
      <c r="U4049" s="693">
        <f t="shared" si="63"/>
        <v>43831</v>
      </c>
      <c r="V4049" s="694">
        <v>43860</v>
      </c>
      <c r="W4049" s="696">
        <v>3395.1</v>
      </c>
    </row>
    <row r="4050" spans="21:23">
      <c r="U4050" s="693">
        <f t="shared" si="63"/>
        <v>43831</v>
      </c>
      <c r="V4050" s="694">
        <v>43861</v>
      </c>
      <c r="W4050" s="696">
        <v>3411.45</v>
      </c>
    </row>
    <row r="4051" spans="21:23">
      <c r="U4051" s="693">
        <f t="shared" si="63"/>
        <v>43862</v>
      </c>
      <c r="V4051" s="694">
        <v>43862</v>
      </c>
      <c r="W4051" s="696">
        <v>3423.24</v>
      </c>
    </row>
    <row r="4052" spans="21:23">
      <c r="U4052" s="693">
        <f t="shared" si="63"/>
        <v>43862</v>
      </c>
      <c r="V4052" s="694">
        <v>43863</v>
      </c>
      <c r="W4052" s="696">
        <v>3423.24</v>
      </c>
    </row>
    <row r="4053" spans="21:23">
      <c r="U4053" s="693">
        <f t="shared" si="63"/>
        <v>43862</v>
      </c>
      <c r="V4053" s="694">
        <v>43864</v>
      </c>
      <c r="W4053" s="696">
        <v>3423.24</v>
      </c>
    </row>
    <row r="4054" spans="21:23">
      <c r="U4054" s="693">
        <f t="shared" si="63"/>
        <v>43862</v>
      </c>
      <c r="V4054" s="694">
        <v>43865</v>
      </c>
      <c r="W4054" s="696">
        <v>3401.56</v>
      </c>
    </row>
    <row r="4055" spans="21:23">
      <c r="U4055" s="693">
        <f t="shared" si="63"/>
        <v>43862</v>
      </c>
      <c r="V4055" s="694">
        <v>43866</v>
      </c>
      <c r="W4055" s="696">
        <v>3368.87</v>
      </c>
    </row>
    <row r="4056" spans="21:23">
      <c r="U4056" s="693">
        <f t="shared" si="63"/>
        <v>43862</v>
      </c>
      <c r="V4056" s="694">
        <v>43867</v>
      </c>
      <c r="W4056" s="696">
        <v>3355.44</v>
      </c>
    </row>
    <row r="4057" spans="21:23">
      <c r="U4057" s="693">
        <f t="shared" si="63"/>
        <v>43862</v>
      </c>
      <c r="V4057" s="694">
        <v>43868</v>
      </c>
      <c r="W4057" s="696">
        <v>3378.43</v>
      </c>
    </row>
    <row r="4058" spans="21:23">
      <c r="U4058" s="693">
        <f t="shared" si="63"/>
        <v>43862</v>
      </c>
      <c r="V4058" s="694">
        <v>43869</v>
      </c>
      <c r="W4058" s="696">
        <v>3408.35</v>
      </c>
    </row>
    <row r="4059" spans="21:23">
      <c r="U4059" s="693">
        <f t="shared" si="63"/>
        <v>43862</v>
      </c>
      <c r="V4059" s="694">
        <v>43870</v>
      </c>
      <c r="W4059" s="696">
        <v>3408.35</v>
      </c>
    </row>
    <row r="4060" spans="21:23">
      <c r="U4060" s="693">
        <f t="shared" si="63"/>
        <v>43862</v>
      </c>
      <c r="V4060" s="694">
        <v>43871</v>
      </c>
      <c r="W4060" s="696">
        <v>3408.35</v>
      </c>
    </row>
    <row r="4061" spans="21:23">
      <c r="U4061" s="693">
        <f t="shared" si="63"/>
        <v>43862</v>
      </c>
      <c r="V4061" s="694">
        <v>43872</v>
      </c>
      <c r="W4061" s="696">
        <v>3440.96</v>
      </c>
    </row>
    <row r="4062" spans="21:23">
      <c r="U4062" s="693">
        <f t="shared" si="63"/>
        <v>43862</v>
      </c>
      <c r="V4062" s="694">
        <v>43873</v>
      </c>
      <c r="W4062" s="696">
        <v>3432.89</v>
      </c>
    </row>
    <row r="4063" spans="21:23">
      <c r="U4063" s="693">
        <f t="shared" si="63"/>
        <v>43862</v>
      </c>
      <c r="V4063" s="694">
        <v>43874</v>
      </c>
      <c r="W4063" s="696">
        <v>3394.8</v>
      </c>
    </row>
    <row r="4064" spans="21:23">
      <c r="U4064" s="693">
        <f t="shared" si="63"/>
        <v>43862</v>
      </c>
      <c r="V4064" s="694">
        <v>43875</v>
      </c>
      <c r="W4064" s="696">
        <v>3385.11</v>
      </c>
    </row>
    <row r="4065" spans="21:23">
      <c r="U4065" s="693">
        <f t="shared" si="63"/>
        <v>43862</v>
      </c>
      <c r="V4065" s="694">
        <v>43876</v>
      </c>
      <c r="W4065" s="696">
        <v>3378.29</v>
      </c>
    </row>
    <row r="4066" spans="21:23">
      <c r="U4066" s="693">
        <f t="shared" si="63"/>
        <v>43862</v>
      </c>
      <c r="V4066" s="694">
        <v>43877</v>
      </c>
      <c r="W4066" s="696">
        <v>3378.29</v>
      </c>
    </row>
    <row r="4067" spans="21:23">
      <c r="U4067" s="693">
        <f t="shared" si="63"/>
        <v>43862</v>
      </c>
      <c r="V4067" s="694">
        <v>43878</v>
      </c>
      <c r="W4067" s="696">
        <v>3378.29</v>
      </c>
    </row>
    <row r="4068" spans="21:23">
      <c r="U4068" s="693">
        <f t="shared" si="63"/>
        <v>43862</v>
      </c>
      <c r="V4068" s="694">
        <v>43879</v>
      </c>
      <c r="W4068" s="696">
        <v>3378.29</v>
      </c>
    </row>
    <row r="4069" spans="21:23">
      <c r="U4069" s="693">
        <f t="shared" si="63"/>
        <v>43862</v>
      </c>
      <c r="V4069" s="694">
        <v>43880</v>
      </c>
      <c r="W4069" s="696">
        <v>3410.24</v>
      </c>
    </row>
    <row r="4070" spans="21:23">
      <c r="U4070" s="693">
        <f t="shared" si="63"/>
        <v>43862</v>
      </c>
      <c r="V4070" s="694">
        <v>43881</v>
      </c>
      <c r="W4070" s="696">
        <v>3400.98</v>
      </c>
    </row>
    <row r="4071" spans="21:23">
      <c r="U4071" s="693">
        <f t="shared" si="63"/>
        <v>43862</v>
      </c>
      <c r="V4071" s="694">
        <v>43882</v>
      </c>
      <c r="W4071" s="696">
        <v>3403.5</v>
      </c>
    </row>
    <row r="4072" spans="21:23">
      <c r="U4072" s="693">
        <f t="shared" si="63"/>
        <v>43862</v>
      </c>
      <c r="V4072" s="694">
        <v>43883</v>
      </c>
      <c r="W4072" s="696">
        <v>3398.05</v>
      </c>
    </row>
    <row r="4073" spans="21:23">
      <c r="U4073" s="693">
        <f t="shared" si="63"/>
        <v>43862</v>
      </c>
      <c r="V4073" s="694">
        <v>43884</v>
      </c>
      <c r="W4073" s="696">
        <v>3398.05</v>
      </c>
    </row>
    <row r="4074" spans="21:23">
      <c r="U4074" s="693">
        <f t="shared" si="63"/>
        <v>43862</v>
      </c>
      <c r="V4074" s="694">
        <v>43885</v>
      </c>
      <c r="W4074" s="696">
        <v>3398.05</v>
      </c>
    </row>
    <row r="4075" spans="21:23">
      <c r="U4075" s="693">
        <f t="shared" si="63"/>
        <v>43862</v>
      </c>
      <c r="V4075" s="694">
        <v>43886</v>
      </c>
      <c r="W4075" s="696">
        <v>3431.6</v>
      </c>
    </row>
    <row r="4076" spans="21:23">
      <c r="U4076" s="693">
        <f t="shared" si="63"/>
        <v>43862</v>
      </c>
      <c r="V4076" s="694">
        <v>43887</v>
      </c>
      <c r="W4076" s="696">
        <v>3425.22</v>
      </c>
    </row>
    <row r="4077" spans="21:23">
      <c r="U4077" s="693">
        <f t="shared" si="63"/>
        <v>43862</v>
      </c>
      <c r="V4077" s="694">
        <v>43888</v>
      </c>
      <c r="W4077" s="696">
        <v>3441.88</v>
      </c>
    </row>
    <row r="4078" spans="21:23">
      <c r="U4078" s="693">
        <f t="shared" si="63"/>
        <v>43862</v>
      </c>
      <c r="V4078" s="694">
        <v>43889</v>
      </c>
      <c r="W4078" s="696">
        <v>3507.11</v>
      </c>
    </row>
    <row r="4079" spans="21:23">
      <c r="U4079" s="693">
        <f t="shared" si="63"/>
        <v>43862</v>
      </c>
      <c r="V4079" s="694">
        <v>43890</v>
      </c>
      <c r="W4079" s="696">
        <v>3539.86</v>
      </c>
    </row>
    <row r="4080" spans="21:23">
      <c r="U4080" s="693">
        <f t="shared" si="63"/>
        <v>43891</v>
      </c>
      <c r="V4080" s="694">
        <v>43891</v>
      </c>
      <c r="W4080" s="696">
        <v>3539.86</v>
      </c>
    </row>
    <row r="4081" spans="21:23">
      <c r="U4081" s="693">
        <f t="shared" si="63"/>
        <v>43891</v>
      </c>
      <c r="V4081" s="694">
        <v>43892</v>
      </c>
      <c r="W4081" s="696">
        <v>3539.86</v>
      </c>
    </row>
    <row r="4082" spans="21:23">
      <c r="U4082" s="693">
        <f t="shared" si="63"/>
        <v>43891</v>
      </c>
      <c r="V4082" s="694">
        <v>43893</v>
      </c>
      <c r="W4082" s="696">
        <v>3512.17</v>
      </c>
    </row>
    <row r="4083" spans="21:23">
      <c r="U4083" s="693">
        <f t="shared" si="63"/>
        <v>43891</v>
      </c>
      <c r="V4083" s="694">
        <v>43894</v>
      </c>
      <c r="W4083" s="696">
        <v>3455.56</v>
      </c>
    </row>
    <row r="4084" spans="21:23">
      <c r="U4084" s="693">
        <f t="shared" si="63"/>
        <v>43891</v>
      </c>
      <c r="V4084" s="694">
        <v>43895</v>
      </c>
      <c r="W4084" s="696">
        <v>3458.45</v>
      </c>
    </row>
    <row r="4085" spans="21:23">
      <c r="U4085" s="693">
        <f t="shared" si="63"/>
        <v>43891</v>
      </c>
      <c r="V4085" s="694">
        <v>43896</v>
      </c>
      <c r="W4085" s="696">
        <v>3522.41</v>
      </c>
    </row>
    <row r="4086" spans="21:23">
      <c r="U4086" s="693">
        <f t="shared" si="63"/>
        <v>43891</v>
      </c>
      <c r="V4086" s="694">
        <v>43897</v>
      </c>
      <c r="W4086" s="696">
        <v>3584.58</v>
      </c>
    </row>
    <row r="4087" spans="21:23">
      <c r="U4087" s="693">
        <f t="shared" si="63"/>
        <v>43891</v>
      </c>
      <c r="V4087" s="694">
        <v>43898</v>
      </c>
      <c r="W4087" s="696">
        <v>3584.58</v>
      </c>
    </row>
    <row r="4088" spans="21:23">
      <c r="U4088" s="693">
        <f t="shared" si="63"/>
        <v>43891</v>
      </c>
      <c r="V4088" s="694">
        <v>43899</v>
      </c>
      <c r="W4088" s="696">
        <v>3584.58</v>
      </c>
    </row>
    <row r="4089" spans="21:23">
      <c r="U4089" s="693">
        <f t="shared" si="63"/>
        <v>43891</v>
      </c>
      <c r="V4089" s="694">
        <v>43900</v>
      </c>
      <c r="W4089" s="696">
        <v>3803.6</v>
      </c>
    </row>
    <row r="4090" spans="21:23">
      <c r="U4090" s="693">
        <f t="shared" si="63"/>
        <v>43891</v>
      </c>
      <c r="V4090" s="694">
        <v>43901</v>
      </c>
      <c r="W4090" s="696">
        <v>3780.39</v>
      </c>
    </row>
    <row r="4091" spans="21:23">
      <c r="U4091" s="693">
        <f t="shared" si="63"/>
        <v>43891</v>
      </c>
      <c r="V4091" s="694">
        <v>43902</v>
      </c>
      <c r="W4091" s="696">
        <v>3835.15</v>
      </c>
    </row>
    <row r="4092" spans="21:23">
      <c r="U4092" s="693">
        <f t="shared" si="63"/>
        <v>43891</v>
      </c>
      <c r="V4092" s="694">
        <v>43903</v>
      </c>
      <c r="W4092" s="696">
        <v>4034.66</v>
      </c>
    </row>
    <row r="4093" spans="21:23">
      <c r="U4093" s="693">
        <f t="shared" si="63"/>
        <v>43891</v>
      </c>
      <c r="V4093" s="694">
        <v>43904</v>
      </c>
      <c r="W4093" s="696">
        <v>3941.92</v>
      </c>
    </row>
    <row r="4094" spans="21:23">
      <c r="U4094" s="693">
        <f t="shared" si="63"/>
        <v>43891</v>
      </c>
      <c r="V4094" s="694">
        <v>43905</v>
      </c>
      <c r="W4094" s="696">
        <v>3941.92</v>
      </c>
    </row>
    <row r="4095" spans="21:23">
      <c r="U4095" s="693">
        <f t="shared" si="63"/>
        <v>43891</v>
      </c>
      <c r="V4095" s="694">
        <v>43906</v>
      </c>
      <c r="W4095" s="696">
        <v>3941.92</v>
      </c>
    </row>
    <row r="4096" spans="21:23">
      <c r="U4096" s="693">
        <f t="shared" si="63"/>
        <v>43891</v>
      </c>
      <c r="V4096" s="694">
        <v>43907</v>
      </c>
      <c r="W4096" s="696">
        <v>4099.93</v>
      </c>
    </row>
    <row r="4097" spans="21:23">
      <c r="U4097" s="693">
        <f t="shared" si="63"/>
        <v>43891</v>
      </c>
      <c r="V4097" s="694">
        <v>43908</v>
      </c>
      <c r="W4097" s="696">
        <v>4044.55</v>
      </c>
    </row>
    <row r="4098" spans="21:23">
      <c r="U4098" s="693">
        <f t="shared" si="63"/>
        <v>43891</v>
      </c>
      <c r="V4098" s="694">
        <v>43909</v>
      </c>
      <c r="W4098" s="696">
        <v>4128.38</v>
      </c>
    </row>
    <row r="4099" spans="21:23">
      <c r="U4099" s="693">
        <f t="shared" ref="U4099:U4162" si="64">+DATE(YEAR(V4099),MONTH(V4099),1)</f>
        <v>43891</v>
      </c>
      <c r="V4099" s="694">
        <v>43910</v>
      </c>
      <c r="W4099" s="696">
        <v>4153.91</v>
      </c>
    </row>
    <row r="4100" spans="21:23">
      <c r="U4100" s="693">
        <f t="shared" si="64"/>
        <v>43891</v>
      </c>
      <c r="V4100" s="694">
        <v>43911</v>
      </c>
      <c r="W4100" s="696">
        <v>4079.96</v>
      </c>
    </row>
    <row r="4101" spans="21:23">
      <c r="U4101" s="693">
        <f t="shared" si="64"/>
        <v>43891</v>
      </c>
      <c r="V4101" s="694">
        <v>43912</v>
      </c>
      <c r="W4101" s="696">
        <v>4079.96</v>
      </c>
    </row>
    <row r="4102" spans="21:23">
      <c r="U4102" s="693">
        <f t="shared" si="64"/>
        <v>43891</v>
      </c>
      <c r="V4102" s="694">
        <v>43913</v>
      </c>
      <c r="W4102" s="696">
        <v>4079.96</v>
      </c>
    </row>
    <row r="4103" spans="21:23">
      <c r="U4103" s="693">
        <f t="shared" si="64"/>
        <v>43891</v>
      </c>
      <c r="V4103" s="694">
        <v>43914</v>
      </c>
      <c r="W4103" s="696">
        <v>4079.96</v>
      </c>
    </row>
    <row r="4104" spans="21:23">
      <c r="U4104" s="693">
        <f t="shared" si="64"/>
        <v>43891</v>
      </c>
      <c r="V4104" s="694">
        <v>43915</v>
      </c>
      <c r="W4104" s="696">
        <v>4104.8999999999996</v>
      </c>
    </row>
    <row r="4105" spans="21:23">
      <c r="U4105" s="693">
        <f t="shared" si="64"/>
        <v>43891</v>
      </c>
      <c r="V4105" s="694">
        <v>43916</v>
      </c>
      <c r="W4105" s="696">
        <v>4086.34</v>
      </c>
    </row>
    <row r="4106" spans="21:23">
      <c r="U4106" s="693">
        <f t="shared" si="64"/>
        <v>43891</v>
      </c>
      <c r="V4106" s="694">
        <v>43917</v>
      </c>
      <c r="W4106" s="696">
        <v>3995.83</v>
      </c>
    </row>
    <row r="4107" spans="21:23">
      <c r="U4107" s="693">
        <f t="shared" si="64"/>
        <v>43891</v>
      </c>
      <c r="V4107" s="694">
        <v>43918</v>
      </c>
      <c r="W4107" s="696">
        <v>4042.8</v>
      </c>
    </row>
    <row r="4108" spans="21:23">
      <c r="U4108" s="693">
        <f t="shared" si="64"/>
        <v>43891</v>
      </c>
      <c r="V4108" s="694">
        <v>43919</v>
      </c>
      <c r="W4108" s="696">
        <v>4042.8</v>
      </c>
    </row>
    <row r="4109" spans="21:23">
      <c r="U4109" s="693">
        <f t="shared" si="64"/>
        <v>43891</v>
      </c>
      <c r="V4109" s="694">
        <v>43920</v>
      </c>
      <c r="W4109" s="696">
        <v>4042.8</v>
      </c>
    </row>
    <row r="4110" spans="21:23">
      <c r="U4110" s="693">
        <f t="shared" si="64"/>
        <v>43891</v>
      </c>
      <c r="V4110" s="694">
        <v>43921</v>
      </c>
      <c r="W4110" s="696">
        <v>4064.81</v>
      </c>
    </row>
    <row r="4111" spans="21:23">
      <c r="U4111" s="693">
        <f t="shared" si="64"/>
        <v>43922</v>
      </c>
      <c r="V4111" s="694">
        <v>43922</v>
      </c>
      <c r="W4111" s="696">
        <v>4054.54</v>
      </c>
    </row>
    <row r="4112" spans="21:23">
      <c r="U4112" s="693">
        <f t="shared" si="64"/>
        <v>43922</v>
      </c>
      <c r="V4112" s="694">
        <v>43923</v>
      </c>
      <c r="W4112" s="696">
        <v>4081.06</v>
      </c>
    </row>
    <row r="4113" spans="21:23">
      <c r="U4113" s="693">
        <f t="shared" si="64"/>
        <v>43922</v>
      </c>
      <c r="V4113" s="694">
        <v>43924</v>
      </c>
      <c r="W4113" s="696">
        <v>4065.5</v>
      </c>
    </row>
    <row r="4114" spans="21:23">
      <c r="U4114" s="693">
        <f t="shared" si="64"/>
        <v>43922</v>
      </c>
      <c r="V4114" s="694">
        <v>43925</v>
      </c>
      <c r="W4114" s="696">
        <v>4008.78</v>
      </c>
    </row>
    <row r="4115" spans="21:23">
      <c r="U4115" s="693">
        <f t="shared" si="64"/>
        <v>43922</v>
      </c>
      <c r="V4115" s="694">
        <v>43926</v>
      </c>
      <c r="W4115" s="696">
        <v>4008.78</v>
      </c>
    </row>
    <row r="4116" spans="21:23">
      <c r="U4116" s="693">
        <f t="shared" si="64"/>
        <v>43922</v>
      </c>
      <c r="V4116" s="694">
        <v>43927</v>
      </c>
      <c r="W4116" s="696">
        <v>4008.78</v>
      </c>
    </row>
    <row r="4117" spans="21:23">
      <c r="U4117" s="693">
        <f t="shared" si="64"/>
        <v>43922</v>
      </c>
      <c r="V4117" s="694">
        <v>43928</v>
      </c>
      <c r="W4117" s="696">
        <v>3978.38</v>
      </c>
    </row>
    <row r="4118" spans="21:23">
      <c r="U4118" s="693">
        <f t="shared" si="64"/>
        <v>43922</v>
      </c>
      <c r="V4118" s="694">
        <v>43929</v>
      </c>
      <c r="W4118" s="696">
        <v>3910.15</v>
      </c>
    </row>
    <row r="4119" spans="21:23">
      <c r="U4119" s="693">
        <f t="shared" si="64"/>
        <v>43922</v>
      </c>
      <c r="V4119" s="694">
        <v>43930</v>
      </c>
      <c r="W4119" s="696">
        <v>3886.79</v>
      </c>
    </row>
    <row r="4120" spans="21:23">
      <c r="U4120" s="693">
        <f t="shared" si="64"/>
        <v>43922</v>
      </c>
      <c r="V4120" s="694">
        <v>43931</v>
      </c>
      <c r="W4120" s="696">
        <v>3886.79</v>
      </c>
    </row>
    <row r="4121" spans="21:23">
      <c r="U4121" s="693">
        <f t="shared" si="64"/>
        <v>43922</v>
      </c>
      <c r="V4121" s="694">
        <v>43932</v>
      </c>
      <c r="W4121" s="696">
        <v>3886.79</v>
      </c>
    </row>
    <row r="4122" spans="21:23">
      <c r="U4122" s="693">
        <f t="shared" si="64"/>
        <v>43922</v>
      </c>
      <c r="V4122" s="694">
        <v>43933</v>
      </c>
      <c r="W4122" s="696">
        <v>3886.79</v>
      </c>
    </row>
    <row r="4123" spans="21:23">
      <c r="U4123" s="693">
        <f t="shared" si="64"/>
        <v>43922</v>
      </c>
      <c r="V4123" s="694">
        <v>43934</v>
      </c>
      <c r="W4123" s="696">
        <v>3886.79</v>
      </c>
    </row>
    <row r="4124" spans="21:23">
      <c r="U4124" s="693">
        <f t="shared" si="64"/>
        <v>43922</v>
      </c>
      <c r="V4124" s="698">
        <v>43935</v>
      </c>
      <c r="W4124" s="55">
        <v>3870.31</v>
      </c>
    </row>
    <row r="4125" spans="21:23">
      <c r="U4125" s="693">
        <f t="shared" si="64"/>
        <v>43922</v>
      </c>
      <c r="V4125" s="698">
        <v>43936</v>
      </c>
      <c r="W4125" s="55">
        <v>3858.21</v>
      </c>
    </row>
    <row r="4126" spans="21:23">
      <c r="U4126" s="693">
        <f t="shared" si="64"/>
        <v>43922</v>
      </c>
      <c r="V4126" s="698">
        <v>43937</v>
      </c>
      <c r="W4126" s="55">
        <v>3920.83</v>
      </c>
    </row>
    <row r="4127" spans="21:23">
      <c r="U4127" s="693">
        <f t="shared" si="64"/>
        <v>43922</v>
      </c>
      <c r="V4127" s="698">
        <v>43938</v>
      </c>
      <c r="W4127" s="55">
        <v>3942.92</v>
      </c>
    </row>
    <row r="4128" spans="21:23">
      <c r="U4128" s="693">
        <f t="shared" si="64"/>
        <v>43922</v>
      </c>
      <c r="V4128" s="698">
        <v>43939</v>
      </c>
      <c r="W4128" s="55">
        <v>3973.06</v>
      </c>
    </row>
    <row r="4129" spans="21:23">
      <c r="U4129" s="693">
        <f t="shared" si="64"/>
        <v>43922</v>
      </c>
      <c r="V4129" s="698">
        <v>43940</v>
      </c>
      <c r="W4129" s="55">
        <v>3973.06</v>
      </c>
    </row>
    <row r="4130" spans="21:23">
      <c r="U4130" s="693">
        <f t="shared" si="64"/>
        <v>43922</v>
      </c>
      <c r="V4130" s="698">
        <v>43941</v>
      </c>
      <c r="W4130" s="55">
        <v>3973.06</v>
      </c>
    </row>
    <row r="4131" spans="21:23">
      <c r="U4131" s="693">
        <f t="shared" si="64"/>
        <v>43922</v>
      </c>
      <c r="V4131" s="698">
        <v>43942</v>
      </c>
      <c r="W4131" s="55">
        <v>3967.76</v>
      </c>
    </row>
    <row r="4132" spans="21:23">
      <c r="U4132" s="693">
        <f t="shared" si="64"/>
        <v>43922</v>
      </c>
      <c r="V4132" s="698">
        <v>43943</v>
      </c>
      <c r="W4132" s="55">
        <v>4045.01</v>
      </c>
    </row>
    <row r="4133" spans="21:23">
      <c r="U4133" s="693">
        <f t="shared" si="64"/>
        <v>43922</v>
      </c>
      <c r="V4133" s="698">
        <v>43944</v>
      </c>
      <c r="W4133" s="55">
        <v>4037.95</v>
      </c>
    </row>
    <row r="4134" spans="21:23">
      <c r="U4134" s="693">
        <f t="shared" si="64"/>
        <v>43922</v>
      </c>
      <c r="V4134" s="698">
        <v>43945</v>
      </c>
      <c r="W4134" s="55">
        <v>4020.94</v>
      </c>
    </row>
    <row r="4135" spans="21:23">
      <c r="U4135" s="693">
        <f t="shared" si="64"/>
        <v>43922</v>
      </c>
      <c r="V4135" s="698">
        <v>43946</v>
      </c>
      <c r="W4135" s="55">
        <v>4039.87</v>
      </c>
    </row>
    <row r="4136" spans="21:23">
      <c r="U4136" s="693">
        <f t="shared" si="64"/>
        <v>43922</v>
      </c>
      <c r="V4136" s="698">
        <v>43947</v>
      </c>
      <c r="W4136" s="55">
        <v>4039.87</v>
      </c>
    </row>
    <row r="4137" spans="21:23">
      <c r="U4137" s="693">
        <f t="shared" si="64"/>
        <v>43922</v>
      </c>
      <c r="V4137" s="698">
        <v>43948</v>
      </c>
      <c r="W4137" s="55">
        <v>4039.87</v>
      </c>
    </row>
    <row r="4138" spans="21:23">
      <c r="U4138" s="693">
        <f t="shared" si="64"/>
        <v>43922</v>
      </c>
      <c r="V4138" s="698">
        <v>43949</v>
      </c>
      <c r="W4138" s="55">
        <v>4039.83</v>
      </c>
    </row>
    <row r="4139" spans="21:23">
      <c r="U4139" s="693">
        <f t="shared" si="64"/>
        <v>43922</v>
      </c>
      <c r="V4139" s="698">
        <v>43950</v>
      </c>
      <c r="W4139" s="55">
        <v>4046.04</v>
      </c>
    </row>
    <row r="4140" spans="21:23">
      <c r="U4140" s="693">
        <f t="shared" si="64"/>
        <v>43922</v>
      </c>
      <c r="V4140" s="698">
        <v>43951</v>
      </c>
      <c r="W4140" s="55">
        <v>3983.29</v>
      </c>
    </row>
    <row r="4141" spans="21:23">
      <c r="U4141" s="693">
        <f t="shared" si="64"/>
        <v>43952</v>
      </c>
      <c r="V4141" s="698">
        <v>43952</v>
      </c>
      <c r="W4141" s="55">
        <v>3932.72</v>
      </c>
    </row>
    <row r="4142" spans="21:23">
      <c r="U4142" s="693">
        <f t="shared" si="64"/>
        <v>43952</v>
      </c>
      <c r="V4142" s="698">
        <v>43953</v>
      </c>
      <c r="W4142" s="55">
        <v>3932.72</v>
      </c>
    </row>
    <row r="4143" spans="21:23">
      <c r="U4143" s="693">
        <f t="shared" si="64"/>
        <v>43952</v>
      </c>
      <c r="V4143" s="698">
        <v>43954</v>
      </c>
      <c r="W4143" s="55">
        <v>3932.72</v>
      </c>
    </row>
    <row r="4144" spans="21:23">
      <c r="U4144" s="693">
        <f t="shared" si="64"/>
        <v>43952</v>
      </c>
      <c r="V4144" s="698">
        <v>43955</v>
      </c>
      <c r="W4144" s="55">
        <v>3932.72</v>
      </c>
    </row>
    <row r="4145" spans="21:23">
      <c r="U4145" s="693">
        <f t="shared" si="64"/>
        <v>43952</v>
      </c>
      <c r="V4145" s="698">
        <v>43956</v>
      </c>
      <c r="W4145" s="55">
        <v>3990.1</v>
      </c>
    </row>
    <row r="4146" spans="21:23">
      <c r="U4146" s="693">
        <f t="shared" si="64"/>
        <v>43952</v>
      </c>
      <c r="V4146" s="698">
        <v>43957</v>
      </c>
      <c r="W4146" s="55">
        <v>3926.07</v>
      </c>
    </row>
    <row r="4147" spans="21:23">
      <c r="U4147" s="693">
        <f t="shared" si="64"/>
        <v>43952</v>
      </c>
      <c r="V4147" s="698">
        <v>43958</v>
      </c>
      <c r="W4147" s="55">
        <v>3961.66</v>
      </c>
    </row>
    <row r="4148" spans="21:23">
      <c r="U4148" s="693">
        <f t="shared" si="64"/>
        <v>43952</v>
      </c>
      <c r="V4148" s="698">
        <v>43959</v>
      </c>
      <c r="W4148" s="55">
        <v>3924.54</v>
      </c>
    </row>
    <row r="4149" spans="21:23">
      <c r="U4149" s="693">
        <f t="shared" si="64"/>
        <v>43952</v>
      </c>
      <c r="V4149" s="698">
        <v>43960</v>
      </c>
      <c r="W4149" s="55">
        <v>3882.27</v>
      </c>
    </row>
    <row r="4150" spans="21:23">
      <c r="U4150" s="693">
        <f t="shared" si="64"/>
        <v>43952</v>
      </c>
      <c r="V4150" s="698">
        <v>43961</v>
      </c>
      <c r="W4150" s="55">
        <v>3882.27</v>
      </c>
    </row>
    <row r="4151" spans="21:23">
      <c r="U4151" s="693">
        <f t="shared" si="64"/>
        <v>43952</v>
      </c>
      <c r="V4151" s="698">
        <v>43962</v>
      </c>
      <c r="W4151" s="55">
        <v>3882.27</v>
      </c>
    </row>
    <row r="4152" spans="21:23">
      <c r="U4152" s="693">
        <f t="shared" si="64"/>
        <v>43952</v>
      </c>
      <c r="V4152" s="698">
        <v>43963</v>
      </c>
      <c r="W4152" s="55">
        <v>3901.34</v>
      </c>
    </row>
    <row r="4153" spans="21:23">
      <c r="U4153" s="693">
        <f t="shared" si="64"/>
        <v>43952</v>
      </c>
      <c r="V4153" s="698">
        <v>43964</v>
      </c>
      <c r="W4153" s="55">
        <v>3880.48</v>
      </c>
    </row>
    <row r="4154" spans="21:23">
      <c r="U4154" s="693">
        <f t="shared" si="64"/>
        <v>43952</v>
      </c>
      <c r="V4154" s="698">
        <v>43965</v>
      </c>
      <c r="W4154" s="55">
        <v>3901.3</v>
      </c>
    </row>
    <row r="4155" spans="21:23">
      <c r="U4155" s="693">
        <f t="shared" si="64"/>
        <v>43952</v>
      </c>
      <c r="V4155" s="698">
        <v>43966</v>
      </c>
      <c r="W4155" s="55">
        <v>3947.79</v>
      </c>
    </row>
    <row r="4156" spans="21:23">
      <c r="U4156" s="693">
        <f t="shared" si="64"/>
        <v>43952</v>
      </c>
      <c r="V4156" s="698">
        <v>43967</v>
      </c>
      <c r="W4156" s="55">
        <v>3926.06</v>
      </c>
    </row>
    <row r="4157" spans="21:23">
      <c r="U4157" s="693">
        <f t="shared" si="64"/>
        <v>43952</v>
      </c>
      <c r="V4157" s="698">
        <v>43968</v>
      </c>
      <c r="W4157" s="55">
        <v>3926.06</v>
      </c>
    </row>
    <row r="4158" spans="21:23">
      <c r="U4158" s="693">
        <f t="shared" si="64"/>
        <v>43952</v>
      </c>
      <c r="V4158" s="698">
        <v>43969</v>
      </c>
      <c r="W4158" s="55">
        <v>3926.06</v>
      </c>
    </row>
    <row r="4159" spans="21:23">
      <c r="U4159" s="693">
        <f t="shared" si="64"/>
        <v>43952</v>
      </c>
      <c r="V4159" s="698">
        <v>43970</v>
      </c>
      <c r="W4159" s="55">
        <v>3851.07</v>
      </c>
    </row>
    <row r="4160" spans="21:23">
      <c r="U4160" s="693">
        <f t="shared" si="64"/>
        <v>43952</v>
      </c>
      <c r="V4160" s="698">
        <v>43971</v>
      </c>
      <c r="W4160" s="55">
        <v>3824.3</v>
      </c>
    </row>
    <row r="4161" spans="21:23">
      <c r="U4161" s="693">
        <f t="shared" si="64"/>
        <v>43952</v>
      </c>
      <c r="V4161" s="698">
        <v>43972</v>
      </c>
      <c r="W4161" s="55">
        <v>3804.12</v>
      </c>
    </row>
    <row r="4162" spans="21:23">
      <c r="U4162" s="693">
        <f t="shared" si="64"/>
        <v>43952</v>
      </c>
      <c r="V4162" s="698">
        <v>43973</v>
      </c>
      <c r="W4162" s="55">
        <v>3774.25</v>
      </c>
    </row>
    <row r="4163" spans="21:23">
      <c r="U4163" s="693">
        <f t="shared" ref="U4163:U4226" si="65">+DATE(YEAR(V4163),MONTH(V4163),1)</f>
        <v>43952</v>
      </c>
      <c r="V4163" s="698">
        <v>43974</v>
      </c>
      <c r="W4163" s="55">
        <v>3782.66</v>
      </c>
    </row>
    <row r="4164" spans="21:23">
      <c r="U4164" s="693">
        <f t="shared" si="65"/>
        <v>43952</v>
      </c>
      <c r="V4164" s="698">
        <v>43975</v>
      </c>
      <c r="W4164" s="55">
        <v>3782.66</v>
      </c>
    </row>
    <row r="4165" spans="21:23">
      <c r="U4165" s="693">
        <f t="shared" si="65"/>
        <v>43952</v>
      </c>
      <c r="V4165" s="698">
        <v>43976</v>
      </c>
      <c r="W4165" s="55">
        <v>3782.66</v>
      </c>
    </row>
    <row r="4166" spans="21:23">
      <c r="U4166" s="693">
        <f t="shared" si="65"/>
        <v>43952</v>
      </c>
      <c r="V4166" s="698">
        <v>43977</v>
      </c>
      <c r="W4166" s="55">
        <v>3782.66</v>
      </c>
    </row>
    <row r="4167" spans="21:23">
      <c r="U4167" s="693">
        <f t="shared" si="65"/>
        <v>43952</v>
      </c>
      <c r="V4167" s="698">
        <v>43978</v>
      </c>
      <c r="W4167" s="55">
        <v>3725.56</v>
      </c>
    </row>
    <row r="4168" spans="21:23">
      <c r="U4168" s="693">
        <f t="shared" si="65"/>
        <v>43952</v>
      </c>
      <c r="V4168" s="698">
        <v>43979</v>
      </c>
      <c r="W4168" s="55">
        <v>3743.79</v>
      </c>
    </row>
    <row r="4169" spans="21:23">
      <c r="U4169" s="693">
        <f t="shared" si="65"/>
        <v>43952</v>
      </c>
      <c r="V4169" s="698">
        <v>43980</v>
      </c>
      <c r="W4169" s="55">
        <v>3723.42</v>
      </c>
    </row>
    <row r="4170" spans="21:23">
      <c r="U4170" s="693">
        <f t="shared" si="65"/>
        <v>43952</v>
      </c>
      <c r="V4170" s="698">
        <v>43981</v>
      </c>
      <c r="W4170" s="55">
        <v>3718.82</v>
      </c>
    </row>
    <row r="4171" spans="21:23">
      <c r="U4171" s="693">
        <f t="shared" si="65"/>
        <v>43952</v>
      </c>
      <c r="V4171" s="698">
        <v>43982</v>
      </c>
      <c r="W4171" s="55">
        <v>3718.82</v>
      </c>
    </row>
    <row r="4172" spans="21:23">
      <c r="U4172" s="693">
        <f t="shared" si="65"/>
        <v>43983</v>
      </c>
      <c r="V4172" s="698">
        <v>43983</v>
      </c>
      <c r="W4172" s="55">
        <v>3718.82</v>
      </c>
    </row>
    <row r="4173" spans="21:23">
      <c r="U4173" s="693">
        <f t="shared" si="65"/>
        <v>43983</v>
      </c>
      <c r="V4173" s="698">
        <v>43984</v>
      </c>
      <c r="W4173" s="55">
        <v>3716.35</v>
      </c>
    </row>
    <row r="4174" spans="21:23">
      <c r="U4174" s="693">
        <f t="shared" si="65"/>
        <v>43983</v>
      </c>
      <c r="V4174" s="698">
        <v>43985</v>
      </c>
      <c r="W4174" s="55">
        <v>3651.42</v>
      </c>
    </row>
    <row r="4175" spans="21:23">
      <c r="U4175" s="693">
        <f t="shared" si="65"/>
        <v>43983</v>
      </c>
      <c r="V4175" s="698">
        <v>43986</v>
      </c>
      <c r="W4175" s="55">
        <v>3588.89</v>
      </c>
    </row>
    <row r="4176" spans="21:23">
      <c r="U4176" s="693">
        <f t="shared" si="65"/>
        <v>43983</v>
      </c>
      <c r="V4176" s="698">
        <v>43987</v>
      </c>
      <c r="W4176" s="55">
        <v>3597.47</v>
      </c>
    </row>
    <row r="4177" spans="21:23">
      <c r="U4177" s="693">
        <f t="shared" si="65"/>
        <v>43983</v>
      </c>
      <c r="V4177" s="698">
        <v>43988</v>
      </c>
      <c r="W4177" s="55">
        <v>3565.06</v>
      </c>
    </row>
    <row r="4178" spans="21:23">
      <c r="U4178" s="693">
        <f t="shared" si="65"/>
        <v>43983</v>
      </c>
      <c r="V4178" s="698">
        <v>43989</v>
      </c>
      <c r="W4178" s="55">
        <v>3565.06</v>
      </c>
    </row>
    <row r="4179" spans="21:23">
      <c r="U4179" s="693">
        <f t="shared" si="65"/>
        <v>43983</v>
      </c>
      <c r="V4179" s="698">
        <v>43990</v>
      </c>
      <c r="W4179" s="55">
        <v>3565.06</v>
      </c>
    </row>
    <row r="4180" spans="21:23">
      <c r="U4180" s="693">
        <f t="shared" si="65"/>
        <v>43983</v>
      </c>
      <c r="V4180" s="698">
        <v>43991</v>
      </c>
      <c r="W4180" s="55">
        <v>3599</v>
      </c>
    </row>
    <row r="4181" spans="21:23">
      <c r="U4181" s="693">
        <f t="shared" si="65"/>
        <v>43983</v>
      </c>
      <c r="V4181" s="698">
        <v>43992</v>
      </c>
      <c r="W4181" s="55">
        <v>3643.02</v>
      </c>
    </row>
    <row r="4182" spans="21:23">
      <c r="U4182" s="693">
        <f t="shared" si="65"/>
        <v>43983</v>
      </c>
      <c r="V4182" s="698">
        <v>43993</v>
      </c>
      <c r="W4182" s="55">
        <v>3674.81</v>
      </c>
    </row>
    <row r="4183" spans="21:23">
      <c r="U4183" s="693">
        <f t="shared" si="65"/>
        <v>43983</v>
      </c>
      <c r="V4183" s="698">
        <v>43994</v>
      </c>
      <c r="W4183" s="55">
        <v>3746.46</v>
      </c>
    </row>
    <row r="4184" spans="21:23">
      <c r="U4184" s="693">
        <f t="shared" si="65"/>
        <v>43983</v>
      </c>
      <c r="V4184" s="698">
        <v>43995</v>
      </c>
      <c r="W4184" s="55">
        <v>3758.15</v>
      </c>
    </row>
    <row r="4185" spans="21:23">
      <c r="U4185" s="693">
        <f t="shared" si="65"/>
        <v>43983</v>
      </c>
      <c r="V4185" s="698">
        <v>43996</v>
      </c>
      <c r="W4185" s="55">
        <v>3758.15</v>
      </c>
    </row>
    <row r="4186" spans="21:23">
      <c r="U4186" s="693">
        <f t="shared" si="65"/>
        <v>43983</v>
      </c>
      <c r="V4186" s="698">
        <v>43997</v>
      </c>
      <c r="W4186" s="55">
        <v>3758.15</v>
      </c>
    </row>
    <row r="4187" spans="21:23">
      <c r="U4187" s="693">
        <f t="shared" si="65"/>
        <v>43983</v>
      </c>
      <c r="V4187" s="698">
        <v>43998</v>
      </c>
      <c r="W4187" s="55">
        <v>3758.15</v>
      </c>
    </row>
    <row r="4188" spans="21:23">
      <c r="U4188" s="693">
        <f t="shared" si="65"/>
        <v>43983</v>
      </c>
      <c r="V4188" s="698">
        <v>43999</v>
      </c>
      <c r="W4188" s="55">
        <v>3741.88</v>
      </c>
    </row>
    <row r="4189" spans="21:23">
      <c r="U4189" s="693">
        <f t="shared" si="65"/>
        <v>43983</v>
      </c>
      <c r="V4189" s="698">
        <v>44000</v>
      </c>
      <c r="W4189" s="55">
        <v>3749.03</v>
      </c>
    </row>
    <row r="4190" spans="21:23">
      <c r="U4190" s="693">
        <f t="shared" si="65"/>
        <v>43983</v>
      </c>
      <c r="V4190" s="698">
        <v>44001</v>
      </c>
      <c r="W4190" s="55">
        <v>3760.22</v>
      </c>
    </row>
    <row r="4191" spans="21:23">
      <c r="U4191" s="693">
        <f t="shared" si="65"/>
        <v>43983</v>
      </c>
      <c r="V4191" s="698">
        <v>44002</v>
      </c>
      <c r="W4191" s="55">
        <v>3733.27</v>
      </c>
    </row>
    <row r="4192" spans="21:23">
      <c r="U4192" s="693">
        <f t="shared" si="65"/>
        <v>43983</v>
      </c>
      <c r="V4192" s="698">
        <v>44003</v>
      </c>
      <c r="W4192" s="55">
        <v>3733.27</v>
      </c>
    </row>
    <row r="4193" spans="21:23">
      <c r="U4193" s="693">
        <f t="shared" si="65"/>
        <v>43983</v>
      </c>
      <c r="V4193" s="698">
        <v>44004</v>
      </c>
      <c r="W4193" s="55">
        <v>3733.27</v>
      </c>
    </row>
    <row r="4194" spans="21:23">
      <c r="U4194" s="693">
        <f t="shared" si="65"/>
        <v>43983</v>
      </c>
      <c r="V4194" s="698">
        <v>44005</v>
      </c>
      <c r="W4194" s="55">
        <v>3733.27</v>
      </c>
    </row>
    <row r="4195" spans="21:23">
      <c r="U4195" s="693">
        <f t="shared" si="65"/>
        <v>43983</v>
      </c>
      <c r="V4195" s="698">
        <v>44006</v>
      </c>
      <c r="W4195" s="55">
        <v>3706.06</v>
      </c>
    </row>
    <row r="4196" spans="21:23">
      <c r="U4196" s="693">
        <f t="shared" si="65"/>
        <v>43983</v>
      </c>
      <c r="V4196" s="698">
        <v>44007</v>
      </c>
      <c r="W4196" s="55">
        <v>3722.27</v>
      </c>
    </row>
    <row r="4197" spans="21:23">
      <c r="U4197" s="693">
        <f t="shared" si="65"/>
        <v>43983</v>
      </c>
      <c r="V4197" s="698">
        <v>44008</v>
      </c>
      <c r="W4197" s="55">
        <v>3735.93</v>
      </c>
    </row>
    <row r="4198" spans="21:23">
      <c r="U4198" s="693">
        <f t="shared" si="65"/>
        <v>43983</v>
      </c>
      <c r="V4198" s="698">
        <v>44009</v>
      </c>
      <c r="W4198" s="55">
        <v>3758.91</v>
      </c>
    </row>
    <row r="4199" spans="21:23">
      <c r="U4199" s="693">
        <f t="shared" si="65"/>
        <v>43983</v>
      </c>
      <c r="V4199" s="698">
        <v>44010</v>
      </c>
      <c r="W4199" s="55">
        <v>3758.91</v>
      </c>
    </row>
    <row r="4200" spans="21:23">
      <c r="U4200" s="693">
        <f t="shared" si="65"/>
        <v>43983</v>
      </c>
      <c r="V4200" s="698">
        <v>44011</v>
      </c>
      <c r="W4200" s="55">
        <v>3758.91</v>
      </c>
    </row>
    <row r="4201" spans="21:23">
      <c r="U4201" s="693">
        <f t="shared" si="65"/>
        <v>43983</v>
      </c>
      <c r="V4201" s="698">
        <v>44012</v>
      </c>
      <c r="W4201" s="55">
        <v>3758.91</v>
      </c>
    </row>
    <row r="4202" spans="21:23">
      <c r="U4202" s="693">
        <f t="shared" si="65"/>
        <v>44013</v>
      </c>
      <c r="V4202" s="698">
        <v>44013</v>
      </c>
      <c r="W4202" s="55">
        <v>3756.28</v>
      </c>
    </row>
    <row r="4203" spans="21:23">
      <c r="U4203" s="693">
        <f t="shared" si="65"/>
        <v>44013</v>
      </c>
      <c r="V4203" s="698">
        <v>44014</v>
      </c>
      <c r="W4203" s="55">
        <v>3723.67</v>
      </c>
    </row>
    <row r="4204" spans="21:23">
      <c r="U4204" s="693">
        <f t="shared" si="65"/>
        <v>44013</v>
      </c>
      <c r="V4204" s="698">
        <v>44015</v>
      </c>
      <c r="W4204" s="55">
        <v>3660.18</v>
      </c>
    </row>
    <row r="4205" spans="21:23">
      <c r="U4205" s="693">
        <f t="shared" si="65"/>
        <v>44013</v>
      </c>
      <c r="V4205" s="698">
        <v>44016</v>
      </c>
      <c r="W4205" s="55">
        <v>3645.9</v>
      </c>
    </row>
    <row r="4206" spans="21:23">
      <c r="U4206" s="693">
        <f t="shared" si="65"/>
        <v>44013</v>
      </c>
      <c r="V4206" s="698">
        <v>44017</v>
      </c>
      <c r="W4206" s="55">
        <v>3645.9</v>
      </c>
    </row>
    <row r="4207" spans="21:23">
      <c r="U4207" s="693">
        <f t="shared" si="65"/>
        <v>44013</v>
      </c>
      <c r="V4207" s="698">
        <v>44018</v>
      </c>
      <c r="W4207" s="55">
        <v>3645.9</v>
      </c>
    </row>
    <row r="4208" spans="21:23">
      <c r="U4208" s="693">
        <f t="shared" si="65"/>
        <v>44013</v>
      </c>
      <c r="V4208" s="698">
        <v>44019</v>
      </c>
      <c r="W4208" s="55">
        <v>3633.32</v>
      </c>
    </row>
    <row r="4209" spans="21:23">
      <c r="U4209" s="693">
        <f t="shared" si="65"/>
        <v>44013</v>
      </c>
      <c r="V4209" s="698">
        <v>44020</v>
      </c>
      <c r="W4209" s="55">
        <v>3631.54</v>
      </c>
    </row>
    <row r="4210" spans="21:23">
      <c r="U4210" s="693">
        <f t="shared" si="65"/>
        <v>44013</v>
      </c>
      <c r="V4210" s="698">
        <v>44021</v>
      </c>
      <c r="W4210" s="55">
        <v>3625.61</v>
      </c>
    </row>
    <row r="4211" spans="21:23">
      <c r="U4211" s="693">
        <f t="shared" si="65"/>
        <v>44013</v>
      </c>
      <c r="V4211" s="698">
        <v>44022</v>
      </c>
      <c r="W4211" s="55">
        <v>3633.42</v>
      </c>
    </row>
    <row r="4212" spans="21:23">
      <c r="U4212" s="693">
        <f t="shared" si="65"/>
        <v>44013</v>
      </c>
      <c r="V4212" s="698">
        <v>44023</v>
      </c>
      <c r="W4212" s="55">
        <v>3615.75</v>
      </c>
    </row>
    <row r="4213" spans="21:23">
      <c r="U4213" s="693">
        <f t="shared" si="65"/>
        <v>44013</v>
      </c>
      <c r="V4213" s="698">
        <v>44024</v>
      </c>
      <c r="W4213" s="55">
        <v>3615.75</v>
      </c>
    </row>
    <row r="4214" spans="21:23">
      <c r="U4214" s="693">
        <f t="shared" si="65"/>
        <v>44013</v>
      </c>
      <c r="V4214" s="698">
        <v>44025</v>
      </c>
      <c r="W4214" s="55">
        <v>3615.75</v>
      </c>
    </row>
    <row r="4215" spans="21:23">
      <c r="U4215" s="693">
        <f t="shared" si="65"/>
        <v>44013</v>
      </c>
      <c r="V4215" s="698">
        <v>44026</v>
      </c>
      <c r="W4215" s="55">
        <v>3617.22</v>
      </c>
    </row>
    <row r="4216" spans="21:23">
      <c r="U4216" s="693">
        <f t="shared" si="65"/>
        <v>44013</v>
      </c>
      <c r="V4216" s="698">
        <v>44027</v>
      </c>
      <c r="W4216" s="55">
        <v>3638.22</v>
      </c>
    </row>
    <row r="4217" spans="21:23">
      <c r="U4217" s="693">
        <f t="shared" si="65"/>
        <v>44013</v>
      </c>
      <c r="V4217" s="698">
        <v>44028</v>
      </c>
      <c r="W4217" s="55">
        <v>3611.61</v>
      </c>
    </row>
    <row r="4218" spans="21:23">
      <c r="U4218" s="693">
        <f t="shared" si="65"/>
        <v>44013</v>
      </c>
      <c r="V4218" s="698">
        <v>44029</v>
      </c>
      <c r="W4218" s="55">
        <v>3627.86</v>
      </c>
    </row>
    <row r="4219" spans="21:23">
      <c r="U4219" s="693">
        <f t="shared" si="65"/>
        <v>44013</v>
      </c>
      <c r="V4219" s="698">
        <v>44030</v>
      </c>
      <c r="W4219" s="55">
        <v>3651.93</v>
      </c>
    </row>
    <row r="4220" spans="21:23">
      <c r="U4220" s="693">
        <f t="shared" si="65"/>
        <v>44013</v>
      </c>
      <c r="V4220" s="698">
        <v>44031</v>
      </c>
      <c r="W4220" s="55">
        <v>3651.93</v>
      </c>
    </row>
    <row r="4221" spans="21:23">
      <c r="U4221" s="693">
        <f t="shared" si="65"/>
        <v>44013</v>
      </c>
      <c r="V4221" s="698">
        <v>44032</v>
      </c>
      <c r="W4221" s="55">
        <v>3651.93</v>
      </c>
    </row>
    <row r="4222" spans="21:23">
      <c r="U4222" s="693">
        <f t="shared" si="65"/>
        <v>44013</v>
      </c>
      <c r="V4222" s="698">
        <v>44033</v>
      </c>
      <c r="W4222" s="55">
        <v>3651.93</v>
      </c>
    </row>
    <row r="4223" spans="21:23">
      <c r="U4223" s="693">
        <f t="shared" si="65"/>
        <v>44013</v>
      </c>
      <c r="V4223" s="698">
        <v>44034</v>
      </c>
      <c r="W4223" s="55">
        <v>3628.2</v>
      </c>
    </row>
    <row r="4224" spans="21:23">
      <c r="U4224" s="693">
        <f t="shared" si="65"/>
        <v>44013</v>
      </c>
      <c r="V4224" s="698">
        <v>44035</v>
      </c>
      <c r="W4224" s="55">
        <v>3627.28</v>
      </c>
    </row>
    <row r="4225" spans="21:23">
      <c r="U4225" s="693">
        <f t="shared" si="65"/>
        <v>44013</v>
      </c>
      <c r="V4225" s="698">
        <v>44036</v>
      </c>
      <c r="W4225" s="55">
        <v>3660.15</v>
      </c>
    </row>
    <row r="4226" spans="21:23">
      <c r="U4226" s="693">
        <f t="shared" si="65"/>
        <v>44013</v>
      </c>
      <c r="V4226" s="698">
        <v>44037</v>
      </c>
      <c r="W4226" s="55">
        <v>3690.8</v>
      </c>
    </row>
    <row r="4227" spans="21:23">
      <c r="U4227" s="693">
        <f t="shared" ref="U4227:U4290" si="66">+DATE(YEAR(V4227),MONTH(V4227),1)</f>
        <v>44013</v>
      </c>
      <c r="V4227" s="698">
        <v>44038</v>
      </c>
      <c r="W4227" s="55">
        <v>3690.8</v>
      </c>
    </row>
    <row r="4228" spans="21:23">
      <c r="U4228" s="693">
        <f t="shared" si="66"/>
        <v>44013</v>
      </c>
      <c r="V4228" s="698">
        <v>44039</v>
      </c>
      <c r="W4228" s="55">
        <v>3690.8</v>
      </c>
    </row>
    <row r="4229" spans="21:23">
      <c r="U4229" s="693">
        <f t="shared" si="66"/>
        <v>44013</v>
      </c>
      <c r="V4229" s="698">
        <v>44040</v>
      </c>
      <c r="W4229" s="55">
        <v>3679.17</v>
      </c>
    </row>
    <row r="4230" spans="21:23">
      <c r="U4230" s="693">
        <f t="shared" si="66"/>
        <v>44013</v>
      </c>
      <c r="V4230" s="698">
        <v>44041</v>
      </c>
      <c r="W4230" s="55">
        <v>3718.69</v>
      </c>
    </row>
    <row r="4231" spans="21:23">
      <c r="U4231" s="693">
        <f t="shared" si="66"/>
        <v>44013</v>
      </c>
      <c r="V4231" s="698">
        <v>44042</v>
      </c>
      <c r="W4231" s="55">
        <v>3716.89</v>
      </c>
    </row>
    <row r="4232" spans="21:23">
      <c r="U4232" s="693">
        <f t="shared" si="66"/>
        <v>44013</v>
      </c>
      <c r="V4232" s="698">
        <v>44043</v>
      </c>
      <c r="W4232" s="55">
        <v>3739.49</v>
      </c>
    </row>
    <row r="4233" spans="21:23">
      <c r="U4233" s="693">
        <f t="shared" si="66"/>
        <v>44044</v>
      </c>
      <c r="V4233" s="698">
        <v>44044</v>
      </c>
      <c r="W4233" s="55">
        <v>3733.08</v>
      </c>
    </row>
    <row r="4234" spans="21:23">
      <c r="U4234" s="693">
        <f t="shared" si="66"/>
        <v>44044</v>
      </c>
      <c r="V4234" s="698">
        <v>44045</v>
      </c>
      <c r="W4234" s="55">
        <v>3733.08</v>
      </c>
    </row>
    <row r="4235" spans="21:23">
      <c r="U4235" s="693">
        <f t="shared" si="66"/>
        <v>44044</v>
      </c>
      <c r="V4235" s="698">
        <v>44046</v>
      </c>
      <c r="W4235" s="55">
        <v>3733.08</v>
      </c>
    </row>
    <row r="4236" spans="21:23">
      <c r="U4236" s="693">
        <f t="shared" si="66"/>
        <v>44044</v>
      </c>
      <c r="V4236" s="698">
        <v>44047</v>
      </c>
      <c r="W4236" s="55">
        <v>3768.39</v>
      </c>
    </row>
    <row r="4237" spans="21:23">
      <c r="U4237" s="693">
        <f t="shared" si="66"/>
        <v>44044</v>
      </c>
      <c r="V4237" s="698">
        <v>44048</v>
      </c>
      <c r="W4237" s="55">
        <v>3792.98</v>
      </c>
    </row>
    <row r="4238" spans="21:23">
      <c r="U4238" s="693">
        <f t="shared" si="66"/>
        <v>44044</v>
      </c>
      <c r="V4238" s="698">
        <v>44049</v>
      </c>
      <c r="W4238" s="55">
        <v>3775.95</v>
      </c>
    </row>
    <row r="4239" spans="21:23">
      <c r="U4239" s="693">
        <f t="shared" si="66"/>
        <v>44044</v>
      </c>
      <c r="V4239" s="698">
        <v>44050</v>
      </c>
      <c r="W4239" s="55">
        <v>3769.67</v>
      </c>
    </row>
    <row r="4240" spans="21:23">
      <c r="U4240" s="693">
        <f t="shared" si="66"/>
        <v>44044</v>
      </c>
      <c r="V4240" s="698">
        <v>44051</v>
      </c>
      <c r="W4240" s="55">
        <v>3769.67</v>
      </c>
    </row>
    <row r="4241" spans="21:23">
      <c r="U4241" s="693">
        <f t="shared" si="66"/>
        <v>44044</v>
      </c>
      <c r="V4241" s="698">
        <v>44052</v>
      </c>
      <c r="W4241" s="55">
        <v>3769.67</v>
      </c>
    </row>
    <row r="4242" spans="21:23">
      <c r="U4242" s="693">
        <f t="shared" si="66"/>
        <v>44044</v>
      </c>
      <c r="V4242" s="698">
        <v>44053</v>
      </c>
      <c r="W4242" s="55">
        <v>3769.67</v>
      </c>
    </row>
    <row r="4243" spans="21:23">
      <c r="U4243" s="693">
        <f t="shared" si="66"/>
        <v>44044</v>
      </c>
      <c r="V4243" s="698">
        <v>44054</v>
      </c>
      <c r="W4243" s="55">
        <v>3770.22</v>
      </c>
    </row>
    <row r="4244" spans="21:23">
      <c r="U4244" s="693">
        <f t="shared" si="66"/>
        <v>44044</v>
      </c>
      <c r="V4244" s="698">
        <v>44055</v>
      </c>
      <c r="W4244" s="55">
        <v>3749.3</v>
      </c>
    </row>
    <row r="4245" spans="21:23">
      <c r="U4245" s="693">
        <f t="shared" si="66"/>
        <v>44044</v>
      </c>
      <c r="V4245" s="698">
        <v>44056</v>
      </c>
      <c r="W4245" s="55">
        <v>3755.61</v>
      </c>
    </row>
    <row r="4246" spans="21:23">
      <c r="U4246" s="693">
        <f t="shared" si="66"/>
        <v>44044</v>
      </c>
      <c r="V4246" s="698">
        <v>44057</v>
      </c>
      <c r="W4246" s="55">
        <v>3767.05</v>
      </c>
    </row>
    <row r="4247" spans="21:23">
      <c r="U4247" s="693">
        <f t="shared" si="66"/>
        <v>44044</v>
      </c>
      <c r="V4247" s="698">
        <v>44058</v>
      </c>
      <c r="W4247" s="55">
        <v>3783.15</v>
      </c>
    </row>
    <row r="4248" spans="21:23">
      <c r="U4248" s="693">
        <f t="shared" si="66"/>
        <v>44044</v>
      </c>
      <c r="V4248" s="698">
        <v>44059</v>
      </c>
      <c r="W4248" s="55">
        <v>3783.15</v>
      </c>
    </row>
    <row r="4249" spans="21:23">
      <c r="U4249" s="693">
        <f t="shared" si="66"/>
        <v>44044</v>
      </c>
      <c r="V4249" s="698">
        <v>44060</v>
      </c>
      <c r="W4249" s="55">
        <v>3783.15</v>
      </c>
    </row>
    <row r="4250" spans="21:23">
      <c r="U4250" s="693">
        <f t="shared" si="66"/>
        <v>44044</v>
      </c>
      <c r="V4250" s="698">
        <v>44061</v>
      </c>
      <c r="W4250" s="55">
        <v>3783.15</v>
      </c>
    </row>
    <row r="4251" spans="21:23">
      <c r="U4251" s="693">
        <f t="shared" si="66"/>
        <v>44044</v>
      </c>
      <c r="V4251" s="698">
        <v>44062</v>
      </c>
      <c r="W4251" s="55">
        <v>3784.15</v>
      </c>
    </row>
    <row r="4252" spans="21:23">
      <c r="U4252" s="693">
        <f t="shared" si="66"/>
        <v>44044</v>
      </c>
      <c r="V4252" s="698">
        <v>44063</v>
      </c>
      <c r="W4252" s="55">
        <v>3766.73</v>
      </c>
    </row>
    <row r="4253" spans="21:23">
      <c r="U4253" s="693">
        <f t="shared" si="66"/>
        <v>44044</v>
      </c>
      <c r="V4253" s="698">
        <v>44064</v>
      </c>
      <c r="W4253" s="55">
        <v>3792.13</v>
      </c>
    </row>
    <row r="4254" spans="21:23">
      <c r="U4254" s="693">
        <f t="shared" si="66"/>
        <v>44044</v>
      </c>
      <c r="V4254" s="698">
        <v>44065</v>
      </c>
      <c r="W4254" s="55">
        <v>3827.27</v>
      </c>
    </row>
    <row r="4255" spans="21:23">
      <c r="U4255" s="693">
        <f t="shared" si="66"/>
        <v>44044</v>
      </c>
      <c r="V4255" s="698">
        <v>44066</v>
      </c>
      <c r="W4255" s="55">
        <v>3827.27</v>
      </c>
    </row>
    <row r="4256" spans="21:23">
      <c r="U4256" s="693">
        <f t="shared" si="66"/>
        <v>44044</v>
      </c>
      <c r="V4256" s="698">
        <v>44067</v>
      </c>
      <c r="W4256" s="55">
        <v>3827.27</v>
      </c>
    </row>
    <row r="4257" spans="21:23">
      <c r="U4257" s="693">
        <f t="shared" si="66"/>
        <v>44044</v>
      </c>
      <c r="V4257" s="698">
        <v>44068</v>
      </c>
      <c r="W4257" s="55">
        <v>3843.69</v>
      </c>
    </row>
    <row r="4258" spans="21:23">
      <c r="U4258" s="693">
        <f t="shared" si="66"/>
        <v>44044</v>
      </c>
      <c r="V4258" s="698">
        <v>44069</v>
      </c>
      <c r="W4258" s="55">
        <v>3867.32</v>
      </c>
    </row>
    <row r="4259" spans="21:23">
      <c r="U4259" s="693">
        <f t="shared" si="66"/>
        <v>44044</v>
      </c>
      <c r="V4259" s="698">
        <v>44070</v>
      </c>
      <c r="W4259" s="55">
        <v>3846.64</v>
      </c>
    </row>
    <row r="4260" spans="21:23">
      <c r="U4260" s="693">
        <f t="shared" si="66"/>
        <v>44044</v>
      </c>
      <c r="V4260" s="698">
        <v>44071</v>
      </c>
      <c r="W4260" s="55">
        <v>3820.17</v>
      </c>
    </row>
    <row r="4261" spans="21:23">
      <c r="U4261" s="693">
        <f t="shared" si="66"/>
        <v>44044</v>
      </c>
      <c r="V4261" s="698">
        <v>44072</v>
      </c>
      <c r="W4261" s="55">
        <v>3760.38</v>
      </c>
    </row>
    <row r="4262" spans="21:23">
      <c r="U4262" s="693">
        <f t="shared" si="66"/>
        <v>44044</v>
      </c>
      <c r="V4262" s="698">
        <v>44073</v>
      </c>
      <c r="W4262" s="55">
        <v>3760.38</v>
      </c>
    </row>
    <row r="4263" spans="21:23">
      <c r="U4263" s="693">
        <f t="shared" si="66"/>
        <v>44044</v>
      </c>
      <c r="V4263" s="698">
        <v>44074</v>
      </c>
      <c r="W4263" s="55">
        <v>3760.38</v>
      </c>
    </row>
    <row r="4264" spans="21:23">
      <c r="U4264" s="693">
        <f t="shared" si="66"/>
        <v>44075</v>
      </c>
      <c r="V4264" s="698">
        <v>44075</v>
      </c>
      <c r="W4264" s="55">
        <v>3745.41</v>
      </c>
    </row>
    <row r="4265" spans="21:23">
      <c r="U4265" s="693">
        <f t="shared" si="66"/>
        <v>44075</v>
      </c>
      <c r="V4265" s="698">
        <v>44076</v>
      </c>
      <c r="W4265" s="55">
        <v>3683.28</v>
      </c>
    </row>
    <row r="4266" spans="21:23">
      <c r="U4266" s="693">
        <f t="shared" si="66"/>
        <v>44075</v>
      </c>
      <c r="V4266" s="698">
        <v>44077</v>
      </c>
      <c r="W4266" s="55">
        <v>3653.7</v>
      </c>
    </row>
    <row r="4267" spans="21:23">
      <c r="U4267" s="693">
        <f t="shared" si="66"/>
        <v>44075</v>
      </c>
      <c r="V4267" s="698">
        <v>44078</v>
      </c>
      <c r="W4267" s="55">
        <v>3653.23</v>
      </c>
    </row>
    <row r="4268" spans="21:23">
      <c r="U4268" s="693">
        <f t="shared" si="66"/>
        <v>44075</v>
      </c>
      <c r="V4268" s="698">
        <v>44079</v>
      </c>
      <c r="W4268" s="55">
        <v>3702.62</v>
      </c>
    </row>
    <row r="4269" spans="21:23">
      <c r="U4269" s="693">
        <f t="shared" si="66"/>
        <v>44075</v>
      </c>
      <c r="V4269" s="698">
        <v>44080</v>
      </c>
      <c r="W4269" s="55">
        <v>3702.62</v>
      </c>
    </row>
    <row r="4270" spans="21:23">
      <c r="U4270" s="693">
        <f t="shared" si="66"/>
        <v>44075</v>
      </c>
      <c r="V4270" s="698">
        <v>44081</v>
      </c>
      <c r="W4270" s="55">
        <v>3702.62</v>
      </c>
    </row>
    <row r="4271" spans="21:23">
      <c r="U4271" s="693">
        <f t="shared" si="66"/>
        <v>44075</v>
      </c>
      <c r="V4271" s="698">
        <v>44082</v>
      </c>
      <c r="W4271" s="55">
        <v>3702.62</v>
      </c>
    </row>
    <row r="4272" spans="21:23">
      <c r="U4272" s="693">
        <f t="shared" si="66"/>
        <v>44075</v>
      </c>
      <c r="V4272" s="698">
        <v>44083</v>
      </c>
      <c r="W4272" s="55">
        <v>3757.21</v>
      </c>
    </row>
    <row r="4273" spans="21:23">
      <c r="U4273" s="693">
        <f t="shared" si="66"/>
        <v>44075</v>
      </c>
      <c r="V4273" s="698">
        <v>44084</v>
      </c>
      <c r="W4273" s="55">
        <v>3717.25</v>
      </c>
    </row>
    <row r="4274" spans="21:23">
      <c r="U4274" s="693">
        <f t="shared" si="66"/>
        <v>44075</v>
      </c>
      <c r="V4274" s="698">
        <v>44085</v>
      </c>
      <c r="W4274" s="55">
        <v>3700.28</v>
      </c>
    </row>
    <row r="4275" spans="21:23">
      <c r="U4275" s="693">
        <f t="shared" si="66"/>
        <v>44075</v>
      </c>
      <c r="V4275" s="698">
        <v>44086</v>
      </c>
      <c r="W4275" s="55">
        <v>3709</v>
      </c>
    </row>
    <row r="4276" spans="21:23">
      <c r="U4276" s="693">
        <f t="shared" si="66"/>
        <v>44075</v>
      </c>
      <c r="V4276" s="698">
        <v>44087</v>
      </c>
      <c r="W4276" s="55">
        <v>3709</v>
      </c>
    </row>
    <row r="4277" spans="21:23">
      <c r="U4277" s="693">
        <f t="shared" si="66"/>
        <v>44075</v>
      </c>
      <c r="V4277" s="698">
        <v>44088</v>
      </c>
      <c r="W4277" s="55">
        <v>3709</v>
      </c>
    </row>
    <row r="4278" spans="21:23">
      <c r="U4278" s="693">
        <f t="shared" si="66"/>
        <v>44075</v>
      </c>
      <c r="V4278" s="698">
        <v>44089</v>
      </c>
      <c r="W4278" s="55">
        <v>3697</v>
      </c>
    </row>
    <row r="4279" spans="21:23">
      <c r="U4279" s="693">
        <f t="shared" si="66"/>
        <v>44075</v>
      </c>
      <c r="V4279" s="698">
        <v>44090</v>
      </c>
      <c r="W4279" s="55">
        <v>3683.49</v>
      </c>
    </row>
    <row r="4280" spans="21:23">
      <c r="U4280" s="693">
        <f t="shared" si="66"/>
        <v>44075</v>
      </c>
      <c r="V4280" s="698">
        <v>44091</v>
      </c>
      <c r="W4280" s="55">
        <v>3703.86</v>
      </c>
    </row>
    <row r="4281" spans="21:23">
      <c r="U4281" s="693">
        <f t="shared" si="66"/>
        <v>44075</v>
      </c>
      <c r="V4281" s="698">
        <v>44092</v>
      </c>
      <c r="W4281" s="55">
        <v>3714.65</v>
      </c>
    </row>
    <row r="4282" spans="21:23">
      <c r="U4282" s="693">
        <f t="shared" si="66"/>
        <v>44075</v>
      </c>
      <c r="V4282" s="698">
        <v>44093</v>
      </c>
      <c r="W4282" s="55">
        <v>3725.37</v>
      </c>
    </row>
    <row r="4283" spans="21:23">
      <c r="U4283" s="693">
        <f t="shared" si="66"/>
        <v>44075</v>
      </c>
      <c r="V4283" s="698">
        <v>44094</v>
      </c>
      <c r="W4283" s="55">
        <v>3725.37</v>
      </c>
    </row>
    <row r="4284" spans="21:23">
      <c r="U4284" s="693">
        <f t="shared" si="66"/>
        <v>44075</v>
      </c>
      <c r="V4284" s="698">
        <v>44095</v>
      </c>
      <c r="W4284" s="55">
        <v>3725.37</v>
      </c>
    </row>
    <row r="4285" spans="21:23">
      <c r="U4285" s="693">
        <f t="shared" si="66"/>
        <v>44075</v>
      </c>
      <c r="V4285" s="698">
        <v>44096</v>
      </c>
      <c r="W4285" s="55">
        <v>3790.54</v>
      </c>
    </row>
    <row r="4286" spans="21:23">
      <c r="U4286" s="693">
        <f t="shared" si="66"/>
        <v>44075</v>
      </c>
      <c r="V4286" s="698">
        <v>44097</v>
      </c>
      <c r="W4286" s="55">
        <v>3813.3</v>
      </c>
    </row>
    <row r="4287" spans="21:23">
      <c r="U4287" s="693">
        <f t="shared" si="66"/>
        <v>44075</v>
      </c>
      <c r="V4287" s="698">
        <v>44098</v>
      </c>
      <c r="W4287" s="55">
        <v>3863.6</v>
      </c>
    </row>
    <row r="4288" spans="21:23">
      <c r="U4288" s="693">
        <f t="shared" si="66"/>
        <v>44075</v>
      </c>
      <c r="V4288" s="698">
        <v>44099</v>
      </c>
      <c r="W4288" s="55">
        <v>3873.8</v>
      </c>
    </row>
    <row r="4289" spans="21:23">
      <c r="U4289" s="693">
        <f t="shared" si="66"/>
        <v>44075</v>
      </c>
      <c r="V4289" s="698">
        <v>44100</v>
      </c>
      <c r="W4289" s="55">
        <v>3867.81</v>
      </c>
    </row>
    <row r="4290" spans="21:23">
      <c r="U4290" s="693">
        <f t="shared" si="66"/>
        <v>44075</v>
      </c>
      <c r="V4290" s="698">
        <v>44101</v>
      </c>
      <c r="W4290" s="55">
        <v>3867.81</v>
      </c>
    </row>
    <row r="4291" spans="21:23">
      <c r="U4291" s="693">
        <f t="shared" ref="U4291:U4354" si="67">+DATE(YEAR(V4291),MONTH(V4291),1)</f>
        <v>44075</v>
      </c>
      <c r="V4291" s="698">
        <v>44102</v>
      </c>
      <c r="W4291" s="55">
        <v>3867.81</v>
      </c>
    </row>
    <row r="4292" spans="21:23">
      <c r="U4292" s="693">
        <f t="shared" si="67"/>
        <v>44075</v>
      </c>
      <c r="V4292" s="698">
        <v>44103</v>
      </c>
      <c r="W4292" s="55">
        <v>3859.9</v>
      </c>
    </row>
    <row r="4293" spans="21:23">
      <c r="U4293" s="693">
        <f t="shared" si="67"/>
        <v>44075</v>
      </c>
      <c r="V4293" s="698">
        <v>44104</v>
      </c>
      <c r="W4293" s="55">
        <v>3878.94</v>
      </c>
    </row>
    <row r="4294" spans="21:23">
      <c r="U4294" s="693">
        <f t="shared" si="67"/>
        <v>44105</v>
      </c>
      <c r="V4294" s="698">
        <v>44105</v>
      </c>
      <c r="W4294" s="55">
        <v>3865.47</v>
      </c>
    </row>
    <row r="4295" spans="21:23">
      <c r="U4295" s="693">
        <f t="shared" si="67"/>
        <v>44105</v>
      </c>
      <c r="V4295" s="698">
        <v>44106</v>
      </c>
      <c r="W4295" s="55">
        <v>3842.34</v>
      </c>
    </row>
    <row r="4296" spans="21:23">
      <c r="U4296" s="693">
        <f t="shared" si="67"/>
        <v>44105</v>
      </c>
      <c r="V4296" s="698">
        <v>44107</v>
      </c>
      <c r="W4296" s="55">
        <v>3881.8</v>
      </c>
    </row>
    <row r="4297" spans="21:23">
      <c r="U4297" s="693">
        <f t="shared" si="67"/>
        <v>44105</v>
      </c>
      <c r="V4297" s="698">
        <v>44108</v>
      </c>
      <c r="W4297" s="55">
        <v>3881.8</v>
      </c>
    </row>
    <row r="4298" spans="21:23">
      <c r="U4298" s="693">
        <f t="shared" si="67"/>
        <v>44105</v>
      </c>
      <c r="V4298" s="698">
        <v>44109</v>
      </c>
      <c r="W4298" s="55">
        <v>3881.8</v>
      </c>
    </row>
    <row r="4299" spans="21:23">
      <c r="U4299" s="693">
        <f t="shared" si="67"/>
        <v>44105</v>
      </c>
      <c r="V4299" s="698">
        <v>44110</v>
      </c>
      <c r="W4299" s="55">
        <v>3843.75</v>
      </c>
    </row>
    <row r="4300" spans="21:23">
      <c r="U4300" s="693">
        <f t="shared" si="67"/>
        <v>44105</v>
      </c>
      <c r="V4300" s="698">
        <v>44111</v>
      </c>
      <c r="W4300" s="55">
        <v>3826.77</v>
      </c>
    </row>
    <row r="4301" spans="21:23">
      <c r="U4301" s="693">
        <f t="shared" si="67"/>
        <v>44105</v>
      </c>
      <c r="V4301" s="698">
        <v>44112</v>
      </c>
      <c r="W4301" s="55">
        <v>3837.79</v>
      </c>
    </row>
    <row r="4302" spans="21:23">
      <c r="U4302" s="693">
        <f t="shared" si="67"/>
        <v>44105</v>
      </c>
      <c r="V4302" s="698">
        <v>44113</v>
      </c>
      <c r="W4302" s="55">
        <v>3839.73</v>
      </c>
    </row>
    <row r="4303" spans="21:23">
      <c r="U4303" s="693">
        <f t="shared" si="67"/>
        <v>44105</v>
      </c>
      <c r="V4303" s="698">
        <v>44114</v>
      </c>
      <c r="W4303" s="55">
        <v>3824.25</v>
      </c>
    </row>
    <row r="4304" spans="21:23">
      <c r="U4304" s="693">
        <f t="shared" si="67"/>
        <v>44105</v>
      </c>
      <c r="V4304" s="698">
        <v>44115</v>
      </c>
      <c r="W4304" s="55">
        <v>3824.25</v>
      </c>
    </row>
    <row r="4305" spans="21:23">
      <c r="U4305" s="693">
        <f t="shared" si="67"/>
        <v>44105</v>
      </c>
      <c r="V4305" s="698">
        <v>44116</v>
      </c>
      <c r="W4305" s="55">
        <v>3824.25</v>
      </c>
    </row>
    <row r="4306" spans="21:23">
      <c r="U4306" s="693">
        <f t="shared" si="67"/>
        <v>44105</v>
      </c>
      <c r="V4306" s="698">
        <v>44117</v>
      </c>
      <c r="W4306" s="55">
        <v>3824.25</v>
      </c>
    </row>
    <row r="4307" spans="21:23">
      <c r="U4307" s="693">
        <f t="shared" si="67"/>
        <v>44105</v>
      </c>
      <c r="V4307" s="698">
        <v>44118</v>
      </c>
      <c r="W4307" s="55">
        <v>3856.32</v>
      </c>
    </row>
    <row r="4308" spans="21:23">
      <c r="U4308" s="693">
        <f t="shared" si="67"/>
        <v>44105</v>
      </c>
      <c r="V4308" s="698">
        <v>44119</v>
      </c>
      <c r="W4308" s="55">
        <v>3843.59</v>
      </c>
    </row>
    <row r="4309" spans="21:23">
      <c r="U4309" s="693">
        <f t="shared" si="67"/>
        <v>44105</v>
      </c>
      <c r="V4309" s="698">
        <v>44120</v>
      </c>
      <c r="W4309" s="55">
        <v>3854.47</v>
      </c>
    </row>
    <row r="4310" spans="21:23">
      <c r="U4310" s="693">
        <f t="shared" si="67"/>
        <v>44105</v>
      </c>
      <c r="V4310" s="698">
        <v>44121</v>
      </c>
      <c r="W4310" s="55">
        <v>3846.48</v>
      </c>
    </row>
    <row r="4311" spans="21:23">
      <c r="U4311" s="693">
        <f t="shared" si="67"/>
        <v>44105</v>
      </c>
      <c r="V4311" s="698">
        <v>44122</v>
      </c>
      <c r="W4311" s="55">
        <v>3846.48</v>
      </c>
    </row>
    <row r="4312" spans="21:23">
      <c r="U4312" s="693">
        <f t="shared" si="67"/>
        <v>44105</v>
      </c>
      <c r="V4312" s="698">
        <v>44123</v>
      </c>
      <c r="W4312" s="55">
        <v>3846.48</v>
      </c>
    </row>
    <row r="4313" spans="21:23">
      <c r="U4313" s="693">
        <f t="shared" si="67"/>
        <v>44105</v>
      </c>
      <c r="V4313" s="698">
        <v>44124</v>
      </c>
      <c r="W4313" s="55">
        <v>3842.76</v>
      </c>
    </row>
    <row r="4314" spans="21:23">
      <c r="U4314" s="693">
        <f t="shared" si="67"/>
        <v>44105</v>
      </c>
      <c r="V4314" s="698">
        <v>44125</v>
      </c>
      <c r="W4314" s="55">
        <v>3830.79</v>
      </c>
    </row>
    <row r="4315" spans="21:23">
      <c r="U4315" s="693">
        <f t="shared" si="67"/>
        <v>44105</v>
      </c>
      <c r="V4315" s="698">
        <v>44126</v>
      </c>
      <c r="W4315" s="55">
        <v>3784.51</v>
      </c>
    </row>
    <row r="4316" spans="21:23">
      <c r="U4316" s="693">
        <f t="shared" si="67"/>
        <v>44105</v>
      </c>
      <c r="V4316" s="698">
        <v>44127</v>
      </c>
      <c r="W4316" s="55">
        <v>3776.73</v>
      </c>
    </row>
    <row r="4317" spans="21:23">
      <c r="U4317" s="693">
        <f t="shared" si="67"/>
        <v>44105</v>
      </c>
      <c r="V4317" s="698">
        <v>44128</v>
      </c>
      <c r="W4317" s="55">
        <v>3782.66</v>
      </c>
    </row>
    <row r="4318" spans="21:23">
      <c r="U4318" s="693">
        <f t="shared" si="67"/>
        <v>44105</v>
      </c>
      <c r="V4318" s="698">
        <v>44129</v>
      </c>
      <c r="W4318" s="55">
        <v>3782.66</v>
      </c>
    </row>
    <row r="4319" spans="21:23">
      <c r="U4319" s="693">
        <f t="shared" si="67"/>
        <v>44105</v>
      </c>
      <c r="V4319" s="698">
        <v>44130</v>
      </c>
      <c r="W4319" s="55">
        <v>3782.66</v>
      </c>
    </row>
    <row r="4320" spans="21:23">
      <c r="U4320" s="693">
        <f t="shared" si="67"/>
        <v>44105</v>
      </c>
      <c r="V4320" s="698">
        <v>44131</v>
      </c>
      <c r="W4320" s="55">
        <v>3812.82</v>
      </c>
    </row>
    <row r="4321" spans="21:23">
      <c r="U4321" s="693">
        <f t="shared" si="67"/>
        <v>44105</v>
      </c>
      <c r="V4321" s="698">
        <v>44132</v>
      </c>
      <c r="W4321" s="55">
        <v>3810.23</v>
      </c>
    </row>
    <row r="4322" spans="21:23">
      <c r="U4322" s="693">
        <f t="shared" si="67"/>
        <v>44105</v>
      </c>
      <c r="V4322" s="698">
        <v>44133</v>
      </c>
      <c r="W4322" s="55">
        <v>3841.46</v>
      </c>
    </row>
    <row r="4323" spans="21:23">
      <c r="U4323" s="693">
        <f t="shared" si="67"/>
        <v>44105</v>
      </c>
      <c r="V4323" s="698">
        <v>44134</v>
      </c>
      <c r="W4323" s="55">
        <v>3849.53</v>
      </c>
    </row>
    <row r="4324" spans="21:23">
      <c r="U4324" s="693">
        <f t="shared" si="67"/>
        <v>44105</v>
      </c>
      <c r="V4324" s="698">
        <v>44135</v>
      </c>
      <c r="W4324" s="55">
        <v>3858.56</v>
      </c>
    </row>
    <row r="4325" spans="21:23">
      <c r="U4325" s="693">
        <f t="shared" si="67"/>
        <v>44136</v>
      </c>
      <c r="V4325" s="698">
        <v>44136</v>
      </c>
      <c r="W4325" s="55">
        <v>3858.56</v>
      </c>
    </row>
    <row r="4326" spans="21:23">
      <c r="U4326" s="693">
        <f t="shared" si="67"/>
        <v>44136</v>
      </c>
      <c r="V4326" s="698">
        <v>44137</v>
      </c>
      <c r="W4326" s="55">
        <v>3858.56</v>
      </c>
    </row>
    <row r="4327" spans="21:23">
      <c r="U4327" s="693">
        <f t="shared" si="67"/>
        <v>44136</v>
      </c>
      <c r="V4327" s="698">
        <v>44138</v>
      </c>
      <c r="W4327" s="55">
        <v>3858.56</v>
      </c>
    </row>
    <row r="4328" spans="21:23">
      <c r="U4328" s="693">
        <f t="shared" si="67"/>
        <v>44136</v>
      </c>
      <c r="V4328" s="698">
        <v>44139</v>
      </c>
      <c r="W4328" s="55">
        <v>3823.45</v>
      </c>
    </row>
    <row r="4329" spans="21:23">
      <c r="U4329" s="693">
        <f t="shared" si="67"/>
        <v>44136</v>
      </c>
      <c r="V4329" s="698">
        <v>44140</v>
      </c>
      <c r="W4329" s="55">
        <v>3807.13</v>
      </c>
    </row>
    <row r="4330" spans="21:23">
      <c r="U4330" s="693">
        <f t="shared" si="67"/>
        <v>44136</v>
      </c>
      <c r="V4330" s="698">
        <v>44141</v>
      </c>
      <c r="W4330" s="55">
        <v>3763.82</v>
      </c>
    </row>
    <row r="4331" spans="21:23">
      <c r="U4331" s="693">
        <f t="shared" si="67"/>
        <v>44136</v>
      </c>
      <c r="V4331" s="698">
        <v>44142</v>
      </c>
      <c r="W4331" s="55">
        <v>3738.19</v>
      </c>
    </row>
    <row r="4332" spans="21:23">
      <c r="U4332" s="693">
        <f t="shared" si="67"/>
        <v>44136</v>
      </c>
      <c r="V4332" s="698">
        <v>44143</v>
      </c>
      <c r="W4332" s="55">
        <v>3738.19</v>
      </c>
    </row>
    <row r="4333" spans="21:23">
      <c r="U4333" s="693">
        <f t="shared" si="67"/>
        <v>44136</v>
      </c>
      <c r="V4333" s="698">
        <v>44144</v>
      </c>
      <c r="W4333" s="55">
        <v>3738.19</v>
      </c>
    </row>
    <row r="4334" spans="21:23">
      <c r="U4334" s="693">
        <f t="shared" si="67"/>
        <v>44136</v>
      </c>
      <c r="V4334" s="698">
        <v>44145</v>
      </c>
      <c r="W4334" s="55">
        <v>3646.15</v>
      </c>
    </row>
    <row r="4335" spans="21:23">
      <c r="U4335" s="693">
        <f t="shared" si="67"/>
        <v>44136</v>
      </c>
      <c r="V4335" s="698">
        <v>44146</v>
      </c>
      <c r="W4335" s="55">
        <v>3650.5</v>
      </c>
    </row>
    <row r="4336" spans="21:23">
      <c r="U4336" s="693">
        <f t="shared" si="67"/>
        <v>44136</v>
      </c>
      <c r="V4336" s="698">
        <v>44147</v>
      </c>
      <c r="W4336" s="55">
        <v>3650.5</v>
      </c>
    </row>
    <row r="4337" spans="21:23">
      <c r="U4337" s="693">
        <f t="shared" si="67"/>
        <v>44136</v>
      </c>
      <c r="V4337" s="698">
        <v>44148</v>
      </c>
      <c r="W4337" s="55">
        <v>3646.22</v>
      </c>
    </row>
    <row r="4338" spans="21:23">
      <c r="U4338" s="693">
        <f t="shared" si="67"/>
        <v>44136</v>
      </c>
      <c r="V4338" s="698">
        <v>44149</v>
      </c>
      <c r="W4338" s="55">
        <v>3639.95</v>
      </c>
    </row>
    <row r="4339" spans="21:23">
      <c r="U4339" s="693">
        <f t="shared" si="67"/>
        <v>44136</v>
      </c>
      <c r="V4339" s="698">
        <v>44150</v>
      </c>
      <c r="W4339" s="55">
        <v>3639.95</v>
      </c>
    </row>
    <row r="4340" spans="21:23">
      <c r="U4340" s="693">
        <f t="shared" si="67"/>
        <v>44136</v>
      </c>
      <c r="V4340" s="698">
        <v>44151</v>
      </c>
      <c r="W4340" s="55">
        <v>3639.95</v>
      </c>
    </row>
    <row r="4341" spans="21:23">
      <c r="U4341" s="693">
        <f t="shared" si="67"/>
        <v>44136</v>
      </c>
      <c r="V4341" s="698">
        <v>44152</v>
      </c>
      <c r="W4341" s="55">
        <v>3639.95</v>
      </c>
    </row>
    <row r="4342" spans="21:23">
      <c r="U4342" s="693">
        <f t="shared" si="67"/>
        <v>44136</v>
      </c>
      <c r="V4342" s="698">
        <v>44153</v>
      </c>
      <c r="W4342" s="55">
        <v>3635.19</v>
      </c>
    </row>
    <row r="4343" spans="21:23">
      <c r="U4343" s="693">
        <f t="shared" si="67"/>
        <v>44136</v>
      </c>
      <c r="V4343" s="698">
        <v>44154</v>
      </c>
      <c r="W4343" s="55">
        <v>3647.73</v>
      </c>
    </row>
    <row r="4344" spans="21:23">
      <c r="U4344" s="693">
        <f t="shared" si="67"/>
        <v>44136</v>
      </c>
      <c r="V4344" s="698">
        <v>44155</v>
      </c>
      <c r="W4344" s="55">
        <v>3647.1</v>
      </c>
    </row>
    <row r="4345" spans="21:23">
      <c r="U4345" s="693">
        <f t="shared" si="67"/>
        <v>44136</v>
      </c>
      <c r="V4345" s="698">
        <v>44156</v>
      </c>
      <c r="W4345" s="55">
        <v>3649.9</v>
      </c>
    </row>
    <row r="4346" spans="21:23">
      <c r="U4346" s="693">
        <f t="shared" si="67"/>
        <v>44136</v>
      </c>
      <c r="V4346" s="698">
        <v>44157</v>
      </c>
      <c r="W4346" s="55">
        <v>3649.9</v>
      </c>
    </row>
    <row r="4347" spans="21:23">
      <c r="U4347" s="693">
        <f t="shared" si="67"/>
        <v>44136</v>
      </c>
      <c r="V4347" s="698">
        <v>44158</v>
      </c>
      <c r="W4347" s="55">
        <v>3649.9</v>
      </c>
    </row>
    <row r="4348" spans="21:23">
      <c r="U4348" s="693">
        <f t="shared" si="67"/>
        <v>44136</v>
      </c>
      <c r="V4348" s="698">
        <v>44159</v>
      </c>
      <c r="W4348" s="55">
        <v>3632.92</v>
      </c>
    </row>
    <row r="4349" spans="21:23">
      <c r="U4349" s="693">
        <f t="shared" si="67"/>
        <v>44136</v>
      </c>
      <c r="V4349" s="698">
        <v>44160</v>
      </c>
      <c r="W4349" s="55">
        <v>3643.24</v>
      </c>
    </row>
    <row r="4350" spans="21:23">
      <c r="U4350" s="693">
        <f t="shared" si="67"/>
        <v>44136</v>
      </c>
      <c r="V4350" s="698">
        <v>44161</v>
      </c>
      <c r="W4350" s="55">
        <v>3620.39</v>
      </c>
    </row>
    <row r="4351" spans="21:23">
      <c r="U4351" s="693">
        <f t="shared" si="67"/>
        <v>44136</v>
      </c>
      <c r="V4351" s="698">
        <v>44162</v>
      </c>
      <c r="W4351" s="55">
        <v>3620.39</v>
      </c>
    </row>
    <row r="4352" spans="21:23">
      <c r="U4352" s="693">
        <f t="shared" si="67"/>
        <v>44136</v>
      </c>
      <c r="V4352" s="698">
        <v>44163</v>
      </c>
      <c r="W4352" s="55">
        <v>3611.44</v>
      </c>
    </row>
    <row r="4353" spans="21:23">
      <c r="U4353" s="693">
        <f t="shared" si="67"/>
        <v>44136</v>
      </c>
      <c r="V4353" s="698">
        <v>44164</v>
      </c>
      <c r="W4353" s="55">
        <v>3611.44</v>
      </c>
    </row>
    <row r="4354" spans="21:23">
      <c r="U4354" s="693">
        <f t="shared" si="67"/>
        <v>44136</v>
      </c>
      <c r="V4354" s="698">
        <v>44165</v>
      </c>
      <c r="W4354" s="55">
        <v>3611.44</v>
      </c>
    </row>
    <row r="4355" spans="21:23">
      <c r="U4355" s="693">
        <f t="shared" ref="U4355:U4418" si="68">+DATE(YEAR(V4355),MONTH(V4355),1)</f>
        <v>44166</v>
      </c>
      <c r="V4355" s="698">
        <v>44166</v>
      </c>
      <c r="W4355" s="55">
        <v>3591.84</v>
      </c>
    </row>
    <row r="4356" spans="21:23">
      <c r="U4356" s="693">
        <f t="shared" si="68"/>
        <v>44166</v>
      </c>
      <c r="V4356" s="698">
        <v>44167</v>
      </c>
      <c r="W4356" s="55">
        <v>3558.57</v>
      </c>
    </row>
    <row r="4357" spans="21:23">
      <c r="U4357" s="693">
        <f t="shared" si="68"/>
        <v>44166</v>
      </c>
      <c r="V4357" s="698">
        <v>44168</v>
      </c>
      <c r="W4357" s="55">
        <v>3533.21</v>
      </c>
    </row>
    <row r="4358" spans="21:23">
      <c r="U4358" s="693">
        <f t="shared" si="68"/>
        <v>44166</v>
      </c>
      <c r="V4358" s="698">
        <v>44169</v>
      </c>
      <c r="W4358" s="55">
        <v>3481.44</v>
      </c>
    </row>
    <row r="4359" spans="21:23">
      <c r="U4359" s="693">
        <f t="shared" si="68"/>
        <v>44166</v>
      </c>
      <c r="V4359" s="698">
        <v>44170</v>
      </c>
      <c r="W4359" s="55">
        <v>3467.49</v>
      </c>
    </row>
    <row r="4360" spans="21:23">
      <c r="U4360" s="693">
        <f t="shared" si="68"/>
        <v>44166</v>
      </c>
      <c r="V4360" s="698">
        <v>44171</v>
      </c>
      <c r="W4360" s="55">
        <v>3467.49</v>
      </c>
    </row>
    <row r="4361" spans="21:23">
      <c r="U4361" s="693">
        <f t="shared" si="68"/>
        <v>44166</v>
      </c>
      <c r="V4361" s="698">
        <v>44172</v>
      </c>
      <c r="W4361" s="55">
        <v>3467.49</v>
      </c>
    </row>
    <row r="4362" spans="21:23">
      <c r="U4362" s="693">
        <f t="shared" si="68"/>
        <v>44166</v>
      </c>
      <c r="V4362" s="698">
        <v>44173</v>
      </c>
      <c r="W4362" s="55">
        <v>3487.65</v>
      </c>
    </row>
    <row r="4363" spans="21:23">
      <c r="U4363" s="693">
        <f t="shared" si="68"/>
        <v>44166</v>
      </c>
      <c r="V4363" s="698">
        <v>44174</v>
      </c>
      <c r="W4363" s="55">
        <v>3487.65</v>
      </c>
    </row>
    <row r="4364" spans="21:23">
      <c r="U4364" s="693">
        <f t="shared" si="68"/>
        <v>44166</v>
      </c>
      <c r="V4364" s="698">
        <v>44175</v>
      </c>
      <c r="W4364" s="55">
        <v>3465.76</v>
      </c>
    </row>
    <row r="4365" spans="21:23">
      <c r="U4365" s="693">
        <f t="shared" si="68"/>
        <v>44166</v>
      </c>
      <c r="V4365" s="698">
        <v>44176</v>
      </c>
      <c r="W4365" s="55">
        <v>3448.89</v>
      </c>
    </row>
    <row r="4366" spans="21:23">
      <c r="U4366" s="693">
        <f t="shared" si="68"/>
        <v>44166</v>
      </c>
      <c r="V4366" s="698">
        <v>44177</v>
      </c>
      <c r="W4366" s="55">
        <v>3433.45</v>
      </c>
    </row>
    <row r="4367" spans="21:23">
      <c r="U4367" s="693">
        <f t="shared" si="68"/>
        <v>44166</v>
      </c>
      <c r="V4367" s="698">
        <v>44178</v>
      </c>
      <c r="W4367" s="55">
        <v>3433.45</v>
      </c>
    </row>
    <row r="4368" spans="21:23">
      <c r="U4368" s="693">
        <f t="shared" si="68"/>
        <v>44166</v>
      </c>
      <c r="V4368" s="698">
        <v>44179</v>
      </c>
      <c r="W4368" s="55">
        <v>3433.45</v>
      </c>
    </row>
    <row r="4369" spans="21:23">
      <c r="U4369" s="693">
        <f t="shared" si="68"/>
        <v>44166</v>
      </c>
      <c r="V4369" s="698">
        <v>44180</v>
      </c>
      <c r="W4369" s="55">
        <v>3426.97</v>
      </c>
    </row>
    <row r="4370" spans="21:23">
      <c r="U4370" s="693">
        <f t="shared" si="68"/>
        <v>44166</v>
      </c>
      <c r="V4370" s="698">
        <v>44181</v>
      </c>
      <c r="W4370" s="55">
        <v>3422.44</v>
      </c>
    </row>
    <row r="4371" spans="21:23">
      <c r="U4371" s="693">
        <f t="shared" si="68"/>
        <v>44166</v>
      </c>
      <c r="V4371" s="698">
        <v>44182</v>
      </c>
      <c r="W4371" s="55">
        <v>3416.21</v>
      </c>
    </row>
    <row r="4372" spans="21:23">
      <c r="U4372" s="693">
        <f t="shared" si="68"/>
        <v>44166</v>
      </c>
      <c r="V4372" s="698">
        <v>44183</v>
      </c>
      <c r="W4372" s="55">
        <v>3410.82</v>
      </c>
    </row>
    <row r="4373" spans="21:23">
      <c r="U4373" s="693">
        <f t="shared" si="68"/>
        <v>44166</v>
      </c>
      <c r="V4373" s="698">
        <v>44184</v>
      </c>
      <c r="W4373" s="55">
        <v>3420.26</v>
      </c>
    </row>
    <row r="4374" spans="21:23">
      <c r="U4374" s="693">
        <f t="shared" si="68"/>
        <v>44166</v>
      </c>
      <c r="V4374" s="698">
        <v>44185</v>
      </c>
      <c r="W4374" s="55">
        <v>3420.26</v>
      </c>
    </row>
    <row r="4375" spans="21:23">
      <c r="U4375" s="693">
        <f t="shared" si="68"/>
        <v>44166</v>
      </c>
      <c r="V4375" s="698">
        <v>44186</v>
      </c>
      <c r="W4375" s="55">
        <v>3420.26</v>
      </c>
    </row>
    <row r="4376" spans="21:23">
      <c r="U4376" s="693">
        <f t="shared" si="68"/>
        <v>44166</v>
      </c>
      <c r="V4376" s="698">
        <v>44187</v>
      </c>
      <c r="W4376" s="55">
        <v>3442.41</v>
      </c>
    </row>
    <row r="4377" spans="21:23">
      <c r="U4377" s="693">
        <f t="shared" si="68"/>
        <v>44166</v>
      </c>
      <c r="V4377" s="698">
        <v>44188</v>
      </c>
      <c r="W4377" s="55">
        <v>3444.9</v>
      </c>
    </row>
    <row r="4378" spans="21:23">
      <c r="U4378" s="693">
        <f t="shared" si="68"/>
        <v>44166</v>
      </c>
      <c r="V4378" s="698">
        <v>44189</v>
      </c>
      <c r="W4378" s="55">
        <v>3482.51</v>
      </c>
    </row>
    <row r="4379" spans="21:23">
      <c r="U4379" s="693">
        <f t="shared" si="68"/>
        <v>44166</v>
      </c>
      <c r="V4379" s="698">
        <v>44190</v>
      </c>
      <c r="W4379" s="55">
        <v>3493.77</v>
      </c>
    </row>
    <row r="4380" spans="21:23">
      <c r="U4380" s="693">
        <f t="shared" si="68"/>
        <v>44166</v>
      </c>
      <c r="V4380" s="698">
        <v>44191</v>
      </c>
      <c r="W4380" s="55">
        <v>3493.77</v>
      </c>
    </row>
    <row r="4381" spans="21:23">
      <c r="U4381" s="693">
        <f t="shared" si="68"/>
        <v>44166</v>
      </c>
      <c r="V4381" s="698">
        <v>44192</v>
      </c>
      <c r="W4381" s="55">
        <v>3493.77</v>
      </c>
    </row>
    <row r="4382" spans="21:23">
      <c r="U4382" s="693">
        <f t="shared" si="68"/>
        <v>44166</v>
      </c>
      <c r="V4382" s="698">
        <v>44193</v>
      </c>
      <c r="W4382" s="55">
        <v>3493.77</v>
      </c>
    </row>
    <row r="4383" spans="21:23">
      <c r="U4383" s="693">
        <f t="shared" si="68"/>
        <v>44166</v>
      </c>
      <c r="V4383" s="698">
        <v>44194</v>
      </c>
      <c r="W4383" s="55">
        <v>3495.39</v>
      </c>
    </row>
    <row r="4384" spans="21:23">
      <c r="U4384" s="693">
        <f t="shared" si="68"/>
        <v>44166</v>
      </c>
      <c r="V4384" s="698">
        <v>44195</v>
      </c>
      <c r="W4384" s="55">
        <v>3482.1</v>
      </c>
    </row>
    <row r="4385" spans="21:23">
      <c r="U4385" s="693">
        <f t="shared" si="68"/>
        <v>44166</v>
      </c>
      <c r="V4385" s="698">
        <v>44196</v>
      </c>
      <c r="W4385" s="55">
        <v>3432.5</v>
      </c>
    </row>
    <row r="4386" spans="21:23">
      <c r="U4386" s="693">
        <f t="shared" si="68"/>
        <v>44197</v>
      </c>
      <c r="V4386" s="698">
        <v>44197</v>
      </c>
      <c r="W4386">
        <v>3432.5</v>
      </c>
    </row>
    <row r="4387" spans="21:23">
      <c r="U4387" s="693">
        <f t="shared" si="68"/>
        <v>44197</v>
      </c>
      <c r="V4387" s="698">
        <v>44198</v>
      </c>
      <c r="W4387">
        <v>3432.5</v>
      </c>
    </row>
    <row r="4388" spans="21:23">
      <c r="U4388" s="693">
        <f t="shared" si="68"/>
        <v>44197</v>
      </c>
      <c r="V4388" s="698">
        <v>44199</v>
      </c>
      <c r="W4388">
        <v>3432.5</v>
      </c>
    </row>
    <row r="4389" spans="21:23">
      <c r="U4389" s="693">
        <f t="shared" si="68"/>
        <v>44197</v>
      </c>
      <c r="V4389" s="698">
        <v>44200</v>
      </c>
      <c r="W4389">
        <v>3432.5</v>
      </c>
    </row>
    <row r="4390" spans="21:23">
      <c r="U4390" s="693">
        <f t="shared" si="68"/>
        <v>44197</v>
      </c>
      <c r="V4390" s="698">
        <v>44201</v>
      </c>
      <c r="W4390">
        <v>3420.78</v>
      </c>
    </row>
    <row r="4391" spans="21:23">
      <c r="U4391" s="693">
        <f t="shared" si="68"/>
        <v>44197</v>
      </c>
      <c r="V4391" s="698">
        <v>44202</v>
      </c>
      <c r="W4391">
        <v>3450.74</v>
      </c>
    </row>
    <row r="4392" spans="21:23">
      <c r="U4392" s="693">
        <f t="shared" si="68"/>
        <v>44197</v>
      </c>
      <c r="V4392" s="698">
        <v>44203</v>
      </c>
      <c r="W4392">
        <v>3428.04</v>
      </c>
    </row>
    <row r="4393" spans="21:23">
      <c r="U4393" s="693">
        <f t="shared" si="68"/>
        <v>44197</v>
      </c>
      <c r="V4393" s="698">
        <v>44204</v>
      </c>
      <c r="W4393">
        <v>3459.39</v>
      </c>
    </row>
    <row r="4394" spans="21:23">
      <c r="U4394" s="693">
        <f t="shared" si="68"/>
        <v>44197</v>
      </c>
      <c r="V4394" s="698">
        <v>44205</v>
      </c>
      <c r="W4394">
        <v>3478.11</v>
      </c>
    </row>
    <row r="4395" spans="21:23">
      <c r="U4395" s="693">
        <f t="shared" si="68"/>
        <v>44197</v>
      </c>
      <c r="V4395" s="698">
        <v>44206</v>
      </c>
      <c r="W4395">
        <v>3478.11</v>
      </c>
    </row>
    <row r="4396" spans="21:23">
      <c r="U4396" s="693">
        <f t="shared" si="68"/>
        <v>44197</v>
      </c>
      <c r="V4396" s="698">
        <v>44207</v>
      </c>
      <c r="W4396">
        <v>3478.11</v>
      </c>
    </row>
    <row r="4397" spans="21:23">
      <c r="U4397" s="693">
        <f t="shared" si="68"/>
        <v>44197</v>
      </c>
      <c r="V4397" s="698">
        <v>44208</v>
      </c>
      <c r="W4397">
        <v>3478.11</v>
      </c>
    </row>
    <row r="4398" spans="21:23">
      <c r="U4398" s="693">
        <f t="shared" si="68"/>
        <v>44197</v>
      </c>
      <c r="V4398" s="698">
        <v>44209</v>
      </c>
      <c r="W4398">
        <v>3487.65</v>
      </c>
    </row>
    <row r="4399" spans="21:23">
      <c r="U4399" s="693">
        <f t="shared" si="68"/>
        <v>44197</v>
      </c>
      <c r="V4399" s="698">
        <v>44210</v>
      </c>
      <c r="W4399">
        <v>3478.36</v>
      </c>
    </row>
    <row r="4400" spans="21:23">
      <c r="U4400" s="693">
        <f t="shared" si="68"/>
        <v>44197</v>
      </c>
      <c r="V4400" s="698">
        <v>44211</v>
      </c>
      <c r="W4400">
        <v>3469.76</v>
      </c>
    </row>
    <row r="4401" spans="21:23">
      <c r="U4401" s="693">
        <f t="shared" si="68"/>
        <v>44197</v>
      </c>
      <c r="V4401" s="698">
        <v>44212</v>
      </c>
      <c r="W4401">
        <v>3466.8</v>
      </c>
    </row>
    <row r="4402" spans="21:23">
      <c r="U4402" s="693">
        <f t="shared" si="68"/>
        <v>44197</v>
      </c>
      <c r="V4402" s="698">
        <v>44213</v>
      </c>
      <c r="W4402">
        <v>3466.8</v>
      </c>
    </row>
    <row r="4403" spans="21:23">
      <c r="U4403" s="693">
        <f t="shared" si="68"/>
        <v>44197</v>
      </c>
      <c r="V4403" s="698">
        <v>44214</v>
      </c>
      <c r="W4403">
        <v>3466.8</v>
      </c>
    </row>
    <row r="4404" spans="21:23">
      <c r="U4404" s="693">
        <f t="shared" si="68"/>
        <v>44197</v>
      </c>
      <c r="V4404" s="698">
        <v>44215</v>
      </c>
      <c r="W4404">
        <v>3466.8</v>
      </c>
    </row>
    <row r="4405" spans="21:23">
      <c r="U4405" s="693">
        <f t="shared" si="68"/>
        <v>44197</v>
      </c>
      <c r="V4405" s="698">
        <v>44216</v>
      </c>
      <c r="W4405">
        <v>3482.03</v>
      </c>
    </row>
    <row r="4406" spans="21:23">
      <c r="U4406" s="693">
        <f t="shared" si="68"/>
        <v>44197</v>
      </c>
      <c r="V4406" s="698">
        <v>44217</v>
      </c>
      <c r="W4406">
        <v>3476.19</v>
      </c>
    </row>
    <row r="4407" spans="21:23">
      <c r="U4407" s="693">
        <f t="shared" si="68"/>
        <v>44197</v>
      </c>
      <c r="V4407" s="698">
        <v>44218</v>
      </c>
      <c r="W4407">
        <v>3477.48</v>
      </c>
    </row>
    <row r="4408" spans="21:23">
      <c r="U4408" s="693">
        <f t="shared" si="68"/>
        <v>44197</v>
      </c>
      <c r="V4408" s="698">
        <v>44219</v>
      </c>
      <c r="W4408">
        <v>3525.25</v>
      </c>
    </row>
    <row r="4409" spans="21:23">
      <c r="U4409" s="693">
        <f t="shared" si="68"/>
        <v>44197</v>
      </c>
      <c r="V4409" s="698">
        <v>44220</v>
      </c>
      <c r="W4409">
        <v>3525.25</v>
      </c>
    </row>
    <row r="4410" spans="21:23">
      <c r="U4410" s="693">
        <f t="shared" si="68"/>
        <v>44197</v>
      </c>
      <c r="V4410" s="698">
        <v>44221</v>
      </c>
      <c r="W4410">
        <v>3525.25</v>
      </c>
    </row>
    <row r="4411" spans="21:23">
      <c r="U4411" s="693">
        <f t="shared" si="68"/>
        <v>44197</v>
      </c>
      <c r="V4411" s="698">
        <v>44222</v>
      </c>
      <c r="W4411">
        <v>3582.41</v>
      </c>
    </row>
    <row r="4412" spans="21:23">
      <c r="U4412" s="693">
        <f t="shared" si="68"/>
        <v>44197</v>
      </c>
      <c r="V4412" s="698">
        <v>44223</v>
      </c>
      <c r="W4412">
        <v>3591.48</v>
      </c>
    </row>
    <row r="4413" spans="21:23">
      <c r="U4413" s="693">
        <f t="shared" si="68"/>
        <v>44197</v>
      </c>
      <c r="V4413" s="698">
        <v>44224</v>
      </c>
      <c r="W4413">
        <v>3636.91</v>
      </c>
    </row>
    <row r="4414" spans="21:23">
      <c r="U4414" s="693">
        <f t="shared" si="68"/>
        <v>44197</v>
      </c>
      <c r="V4414" s="698">
        <v>44225</v>
      </c>
      <c r="W4414">
        <v>3585.44</v>
      </c>
    </row>
    <row r="4415" spans="21:23">
      <c r="U4415" s="693">
        <f t="shared" si="68"/>
        <v>44197</v>
      </c>
      <c r="V4415" s="698">
        <v>44226</v>
      </c>
      <c r="W4415">
        <v>3559.46</v>
      </c>
    </row>
    <row r="4416" spans="21:23">
      <c r="U4416" s="693">
        <f t="shared" si="68"/>
        <v>44197</v>
      </c>
      <c r="V4416" s="698">
        <v>44227</v>
      </c>
      <c r="W4416">
        <v>3559.46</v>
      </c>
    </row>
    <row r="4417" spans="21:23">
      <c r="U4417" s="693">
        <f t="shared" si="68"/>
        <v>44228</v>
      </c>
      <c r="V4417" s="698">
        <v>44228</v>
      </c>
      <c r="W4417">
        <v>3559.46</v>
      </c>
    </row>
    <row r="4418" spans="21:23">
      <c r="U4418" s="693">
        <f t="shared" si="68"/>
        <v>44228</v>
      </c>
      <c r="V4418" s="698">
        <v>44229</v>
      </c>
      <c r="W4418">
        <v>3561.37</v>
      </c>
    </row>
    <row r="4419" spans="21:23">
      <c r="U4419" s="693">
        <f t="shared" ref="U4419:U4482" si="69">+DATE(YEAR(V4419),MONTH(V4419),1)</f>
        <v>44228</v>
      </c>
      <c r="V4419" s="698">
        <v>44230</v>
      </c>
      <c r="W4419">
        <v>3534.99</v>
      </c>
    </row>
    <row r="4420" spans="21:23">
      <c r="U4420" s="693">
        <f t="shared" si="69"/>
        <v>44228</v>
      </c>
      <c r="V4420" s="698">
        <v>44231</v>
      </c>
      <c r="W4420">
        <v>3522.57</v>
      </c>
    </row>
    <row r="4421" spans="21:23">
      <c r="U4421" s="693">
        <f t="shared" si="69"/>
        <v>44228</v>
      </c>
      <c r="V4421" s="698">
        <v>44232</v>
      </c>
      <c r="W4421">
        <v>3558.63</v>
      </c>
    </row>
    <row r="4422" spans="21:23">
      <c r="U4422" s="693">
        <f t="shared" si="69"/>
        <v>44228</v>
      </c>
      <c r="V4422" s="698">
        <v>44233</v>
      </c>
      <c r="W4422">
        <v>3543.28</v>
      </c>
    </row>
    <row r="4423" spans="21:23">
      <c r="U4423" s="693">
        <f t="shared" si="69"/>
        <v>44228</v>
      </c>
      <c r="V4423" s="698">
        <v>44234</v>
      </c>
      <c r="W4423">
        <v>3543.28</v>
      </c>
    </row>
    <row r="4424" spans="21:23">
      <c r="U4424" s="693">
        <f t="shared" si="69"/>
        <v>44228</v>
      </c>
      <c r="V4424" s="698">
        <v>44235</v>
      </c>
      <c r="W4424">
        <v>3543.28</v>
      </c>
    </row>
    <row r="4425" spans="21:23">
      <c r="U4425" s="693">
        <f t="shared" si="69"/>
        <v>44228</v>
      </c>
      <c r="V4425" s="698">
        <v>44236</v>
      </c>
      <c r="W4425">
        <v>3554.65</v>
      </c>
    </row>
    <row r="4426" spans="21:23">
      <c r="U4426" s="693">
        <f t="shared" si="69"/>
        <v>44228</v>
      </c>
      <c r="V4426" s="698">
        <v>44237</v>
      </c>
      <c r="W4426">
        <v>3583.23</v>
      </c>
    </row>
    <row r="4427" spans="21:23">
      <c r="U4427" s="693">
        <f t="shared" si="69"/>
        <v>44228</v>
      </c>
      <c r="V4427" s="698">
        <v>44238</v>
      </c>
      <c r="W4427">
        <v>3557.16</v>
      </c>
    </row>
    <row r="4428" spans="21:23">
      <c r="U4428" s="693">
        <f t="shared" si="69"/>
        <v>44228</v>
      </c>
      <c r="V4428" s="698">
        <v>44239</v>
      </c>
      <c r="W4428">
        <v>3525.45</v>
      </c>
    </row>
    <row r="4429" spans="21:23">
      <c r="U4429" s="693">
        <f t="shared" si="69"/>
        <v>44228</v>
      </c>
      <c r="V4429" s="698">
        <v>44240</v>
      </c>
      <c r="W4429">
        <v>3515.65</v>
      </c>
    </row>
    <row r="4430" spans="21:23">
      <c r="U4430" s="693">
        <f t="shared" si="69"/>
        <v>44228</v>
      </c>
      <c r="V4430" s="698">
        <v>44241</v>
      </c>
      <c r="W4430">
        <v>3515.65</v>
      </c>
    </row>
    <row r="4431" spans="21:23">
      <c r="U4431" s="693">
        <f t="shared" si="69"/>
        <v>44228</v>
      </c>
      <c r="V4431" s="698">
        <v>44242</v>
      </c>
      <c r="W4431">
        <v>3515.65</v>
      </c>
    </row>
    <row r="4432" spans="21:23">
      <c r="U4432" s="693">
        <f t="shared" si="69"/>
        <v>44228</v>
      </c>
      <c r="V4432" s="698">
        <v>44243</v>
      </c>
      <c r="W4432">
        <v>3515.65</v>
      </c>
    </row>
    <row r="4433" spans="21:23">
      <c r="U4433" s="693">
        <f t="shared" si="69"/>
        <v>44228</v>
      </c>
      <c r="V4433" s="698">
        <v>44244</v>
      </c>
      <c r="W4433">
        <v>3518.19</v>
      </c>
    </row>
    <row r="4434" spans="21:23">
      <c r="U4434" s="693">
        <f t="shared" si="69"/>
        <v>44228</v>
      </c>
      <c r="V4434" s="698">
        <v>44245</v>
      </c>
      <c r="W4434">
        <v>3545.84</v>
      </c>
    </row>
    <row r="4435" spans="21:23">
      <c r="U4435" s="693">
        <f t="shared" si="69"/>
        <v>44228</v>
      </c>
      <c r="V4435" s="698">
        <v>44246</v>
      </c>
      <c r="W4435">
        <v>3537.86</v>
      </c>
    </row>
    <row r="4436" spans="21:23">
      <c r="U4436" s="693">
        <f t="shared" si="69"/>
        <v>44228</v>
      </c>
      <c r="V4436" s="698">
        <v>44247</v>
      </c>
      <c r="W4436">
        <v>3555.4</v>
      </c>
    </row>
    <row r="4437" spans="21:23">
      <c r="U4437" s="693">
        <f t="shared" si="69"/>
        <v>44228</v>
      </c>
      <c r="V4437" s="698">
        <v>44248</v>
      </c>
      <c r="W4437">
        <v>3555.4</v>
      </c>
    </row>
    <row r="4438" spans="21:23">
      <c r="U4438" s="693">
        <f t="shared" si="69"/>
        <v>44228</v>
      </c>
      <c r="V4438" s="698">
        <v>44249</v>
      </c>
      <c r="W4438">
        <v>3555.4</v>
      </c>
    </row>
    <row r="4439" spans="21:23">
      <c r="U4439" s="693">
        <f t="shared" si="69"/>
        <v>44228</v>
      </c>
      <c r="V4439" s="698">
        <v>44250</v>
      </c>
      <c r="W4439">
        <v>3602.41</v>
      </c>
    </row>
    <row r="4440" spans="21:23">
      <c r="U4440" s="693">
        <f t="shared" si="69"/>
        <v>44228</v>
      </c>
      <c r="V4440" s="698">
        <v>44251</v>
      </c>
      <c r="W4440">
        <v>3590.37</v>
      </c>
    </row>
    <row r="4441" spans="21:23">
      <c r="U4441" s="693">
        <f t="shared" si="69"/>
        <v>44228</v>
      </c>
      <c r="V4441" s="698">
        <v>44252</v>
      </c>
      <c r="W4441">
        <v>3578.29</v>
      </c>
    </row>
    <row r="4442" spans="21:23">
      <c r="U4442" s="693">
        <f t="shared" si="69"/>
        <v>44228</v>
      </c>
      <c r="V4442" s="698">
        <v>44253</v>
      </c>
      <c r="W4442">
        <v>3588.23</v>
      </c>
    </row>
    <row r="4443" spans="21:23">
      <c r="U4443" s="693">
        <f t="shared" si="69"/>
        <v>44228</v>
      </c>
      <c r="V4443" s="698">
        <v>44254</v>
      </c>
      <c r="W4443">
        <v>3624.39</v>
      </c>
    </row>
    <row r="4444" spans="21:23">
      <c r="U4444" s="693">
        <f t="shared" si="69"/>
        <v>44228</v>
      </c>
      <c r="V4444" s="698">
        <v>44255</v>
      </c>
      <c r="W4444">
        <v>3624.39</v>
      </c>
    </row>
    <row r="4445" spans="21:23">
      <c r="U4445" s="693">
        <f t="shared" si="69"/>
        <v>44256</v>
      </c>
      <c r="V4445" s="698">
        <v>44256</v>
      </c>
      <c r="W4445">
        <v>3624.39</v>
      </c>
    </row>
    <row r="4446" spans="21:23">
      <c r="U4446" s="693">
        <f t="shared" si="69"/>
        <v>44256</v>
      </c>
      <c r="V4446" s="698">
        <v>44257</v>
      </c>
      <c r="W4446">
        <v>3622.36</v>
      </c>
    </row>
    <row r="4447" spans="21:23">
      <c r="U4447" s="693">
        <f t="shared" si="69"/>
        <v>44256</v>
      </c>
      <c r="V4447" s="698">
        <v>44258</v>
      </c>
      <c r="W4447">
        <v>3646.61</v>
      </c>
    </row>
    <row r="4448" spans="21:23">
      <c r="U4448" s="693">
        <f t="shared" si="69"/>
        <v>44256</v>
      </c>
      <c r="V4448" s="698">
        <v>44259</v>
      </c>
      <c r="W4448">
        <v>3676.94</v>
      </c>
    </row>
    <row r="4449" spans="21:23">
      <c r="U4449" s="693">
        <f t="shared" si="69"/>
        <v>44256</v>
      </c>
      <c r="V4449" s="698">
        <v>44260</v>
      </c>
      <c r="W4449">
        <v>3647.99</v>
      </c>
    </row>
    <row r="4450" spans="21:23">
      <c r="U4450" s="693">
        <f t="shared" si="69"/>
        <v>44256</v>
      </c>
      <c r="V4450" s="698">
        <v>44261</v>
      </c>
      <c r="W4450">
        <v>3640.2</v>
      </c>
    </row>
    <row r="4451" spans="21:23">
      <c r="U4451" s="693">
        <f t="shared" si="69"/>
        <v>44256</v>
      </c>
      <c r="V4451" s="698">
        <v>44262</v>
      </c>
      <c r="W4451">
        <v>3640.2</v>
      </c>
    </row>
    <row r="4452" spans="21:23">
      <c r="U4452" s="693">
        <f t="shared" si="69"/>
        <v>44256</v>
      </c>
      <c r="V4452" s="698">
        <v>44263</v>
      </c>
      <c r="W4452">
        <v>3640.2</v>
      </c>
    </row>
    <row r="4453" spans="21:23">
      <c r="U4453" s="693">
        <f t="shared" si="69"/>
        <v>44256</v>
      </c>
      <c r="V4453" s="698">
        <v>44264</v>
      </c>
      <c r="W4453">
        <v>3623.61</v>
      </c>
    </row>
    <row r="4454" spans="21:23">
      <c r="U4454" s="693">
        <f t="shared" si="69"/>
        <v>44256</v>
      </c>
      <c r="V4454" s="698">
        <v>44265</v>
      </c>
      <c r="W4454">
        <v>3598.77</v>
      </c>
    </row>
    <row r="4455" spans="21:23">
      <c r="U4455" s="693">
        <f t="shared" si="69"/>
        <v>44256</v>
      </c>
      <c r="V4455" s="698">
        <v>44266</v>
      </c>
      <c r="W4455">
        <v>3561.91</v>
      </c>
    </row>
    <row r="4456" spans="21:23">
      <c r="U4456" s="693">
        <f t="shared" si="69"/>
        <v>44256</v>
      </c>
      <c r="V4456" s="698">
        <v>44267</v>
      </c>
      <c r="W4456">
        <v>3534.62</v>
      </c>
    </row>
    <row r="4457" spans="21:23">
      <c r="U4457" s="693">
        <f t="shared" si="69"/>
        <v>44256</v>
      </c>
      <c r="V4457" s="698">
        <v>44268</v>
      </c>
      <c r="W4457">
        <v>3575.3</v>
      </c>
    </row>
    <row r="4458" spans="21:23">
      <c r="U4458" s="693">
        <f t="shared" si="69"/>
        <v>44256</v>
      </c>
      <c r="V4458" s="698">
        <v>44269</v>
      </c>
      <c r="W4458">
        <v>3575.3</v>
      </c>
    </row>
    <row r="4459" spans="21:23">
      <c r="U4459" s="693">
        <f t="shared" si="69"/>
        <v>44256</v>
      </c>
      <c r="V4459" s="698">
        <v>44270</v>
      </c>
      <c r="W4459">
        <v>3575.3</v>
      </c>
    </row>
    <row r="4460" spans="21:23">
      <c r="U4460" s="693">
        <f t="shared" si="69"/>
        <v>44256</v>
      </c>
      <c r="V4460" s="698">
        <v>44271</v>
      </c>
      <c r="W4460">
        <v>3575.63</v>
      </c>
    </row>
    <row r="4461" spans="21:23">
      <c r="U4461" s="693">
        <f t="shared" si="69"/>
        <v>44256</v>
      </c>
      <c r="V4461" s="698">
        <v>44272</v>
      </c>
      <c r="W4461">
        <v>3553.51</v>
      </c>
    </row>
    <row r="4462" spans="21:23">
      <c r="U4462" s="693">
        <f t="shared" si="69"/>
        <v>44256</v>
      </c>
      <c r="V4462" s="698">
        <v>44273</v>
      </c>
      <c r="W4462">
        <v>3578.02</v>
      </c>
    </row>
    <row r="4463" spans="21:23">
      <c r="U4463" s="693">
        <f t="shared" si="69"/>
        <v>44256</v>
      </c>
      <c r="V4463" s="698">
        <v>44274</v>
      </c>
      <c r="W4463">
        <v>3569.45</v>
      </c>
    </row>
    <row r="4464" spans="21:23">
      <c r="U4464" s="693">
        <f t="shared" si="69"/>
        <v>44256</v>
      </c>
      <c r="V4464" s="698">
        <v>44275</v>
      </c>
      <c r="W4464">
        <v>3553.34</v>
      </c>
    </row>
    <row r="4465" spans="21:23">
      <c r="U4465" s="693">
        <f t="shared" si="69"/>
        <v>44256</v>
      </c>
      <c r="V4465" s="698">
        <v>44276</v>
      </c>
      <c r="W4465">
        <v>3553.34</v>
      </c>
    </row>
    <row r="4466" spans="21:23">
      <c r="U4466" s="693">
        <f t="shared" si="69"/>
        <v>44256</v>
      </c>
      <c r="V4466" s="698">
        <v>44277</v>
      </c>
      <c r="W4466">
        <v>3553.34</v>
      </c>
    </row>
    <row r="4467" spans="21:23">
      <c r="U4467" s="693">
        <f t="shared" si="69"/>
        <v>44256</v>
      </c>
      <c r="V4467" s="698">
        <v>44278</v>
      </c>
      <c r="W4467">
        <v>3553.34</v>
      </c>
    </row>
    <row r="4468" spans="21:23">
      <c r="U4468" s="693">
        <f t="shared" si="69"/>
        <v>44256</v>
      </c>
      <c r="V4468" s="698">
        <v>44279</v>
      </c>
      <c r="W4468">
        <v>3589.82</v>
      </c>
    </row>
    <row r="4469" spans="21:23">
      <c r="U4469" s="693">
        <f t="shared" si="69"/>
        <v>44256</v>
      </c>
      <c r="V4469" s="698">
        <v>44280</v>
      </c>
      <c r="W4469">
        <v>3635.12</v>
      </c>
    </row>
    <row r="4470" spans="21:23">
      <c r="U4470" s="693">
        <f t="shared" si="69"/>
        <v>44256</v>
      </c>
      <c r="V4470" s="698">
        <v>44281</v>
      </c>
      <c r="W4470">
        <v>3658.22</v>
      </c>
    </row>
    <row r="4471" spans="21:23">
      <c r="U4471" s="693">
        <f t="shared" si="69"/>
        <v>44256</v>
      </c>
      <c r="V4471" s="698">
        <v>44282</v>
      </c>
      <c r="W4471">
        <v>3665.41</v>
      </c>
    </row>
    <row r="4472" spans="21:23">
      <c r="U4472" s="693">
        <f t="shared" si="69"/>
        <v>44256</v>
      </c>
      <c r="V4472" s="698">
        <v>44283</v>
      </c>
      <c r="W4472">
        <v>3665.41</v>
      </c>
    </row>
    <row r="4473" spans="21:23">
      <c r="U4473" s="693">
        <f t="shared" si="69"/>
        <v>44256</v>
      </c>
      <c r="V4473" s="698">
        <v>44284</v>
      </c>
      <c r="W4473">
        <v>3665.41</v>
      </c>
    </row>
    <row r="4474" spans="21:23">
      <c r="U4474" s="693">
        <f t="shared" si="69"/>
        <v>44256</v>
      </c>
      <c r="V4474" s="698">
        <v>44285</v>
      </c>
      <c r="W4474">
        <v>3705.85</v>
      </c>
    </row>
    <row r="4475" spans="21:23">
      <c r="U4475" s="693">
        <f t="shared" si="69"/>
        <v>44256</v>
      </c>
      <c r="V4475" s="698">
        <v>44286</v>
      </c>
      <c r="W4475">
        <v>3736.91</v>
      </c>
    </row>
    <row r="4476" spans="21:23">
      <c r="U4476" s="693">
        <f t="shared" si="69"/>
        <v>44287</v>
      </c>
      <c r="V4476" s="698">
        <v>44287</v>
      </c>
      <c r="W4476">
        <v>3678.62</v>
      </c>
    </row>
    <row r="4477" spans="21:23">
      <c r="U4477" s="693">
        <f t="shared" si="69"/>
        <v>44287</v>
      </c>
      <c r="V4477" s="698">
        <v>44288</v>
      </c>
      <c r="W4477">
        <v>3678.62</v>
      </c>
    </row>
    <row r="4478" spans="21:23">
      <c r="U4478" s="693">
        <f t="shared" si="69"/>
        <v>44287</v>
      </c>
      <c r="V4478" s="698">
        <v>44289</v>
      </c>
      <c r="W4478">
        <v>3678.62</v>
      </c>
    </row>
    <row r="4479" spans="21:23">
      <c r="U4479" s="693">
        <f t="shared" si="69"/>
        <v>44287</v>
      </c>
      <c r="V4479" s="698">
        <v>44290</v>
      </c>
      <c r="W4479">
        <v>3678.62</v>
      </c>
    </row>
    <row r="4480" spans="21:23">
      <c r="U4480" s="693">
        <f t="shared" si="69"/>
        <v>44287</v>
      </c>
      <c r="V4480" s="698">
        <v>44291</v>
      </c>
      <c r="W4480">
        <v>3678.62</v>
      </c>
    </row>
    <row r="4481" spans="21:23">
      <c r="U4481" s="693">
        <f t="shared" si="69"/>
        <v>44287</v>
      </c>
      <c r="V4481" s="698">
        <v>44292</v>
      </c>
      <c r="W4481">
        <v>3645.79</v>
      </c>
    </row>
    <row r="4482" spans="21:23">
      <c r="U4482" s="693">
        <f t="shared" si="69"/>
        <v>44287</v>
      </c>
      <c r="V4482" s="698">
        <v>44293</v>
      </c>
      <c r="W4482">
        <v>3645.14</v>
      </c>
    </row>
    <row r="4483" spans="21:23">
      <c r="U4483" s="693">
        <f t="shared" ref="U4483:U4546" si="70">+DATE(YEAR(V4483),MONTH(V4483),1)</f>
        <v>44287</v>
      </c>
      <c r="V4483" s="698">
        <v>44294</v>
      </c>
      <c r="W4483">
        <v>3639.62</v>
      </c>
    </row>
    <row r="4484" spans="21:23">
      <c r="U4484" s="693">
        <f t="shared" si="70"/>
        <v>44287</v>
      </c>
      <c r="V4484" s="698">
        <v>44295</v>
      </c>
      <c r="W4484">
        <v>3634.07</v>
      </c>
    </row>
    <row r="4485" spans="21:23">
      <c r="U4485" s="693">
        <f t="shared" si="70"/>
        <v>44287</v>
      </c>
      <c r="V4485" s="698">
        <v>44296</v>
      </c>
      <c r="W4485">
        <v>3650.23</v>
      </c>
    </row>
    <row r="4486" spans="21:23">
      <c r="U4486" s="693">
        <f t="shared" si="70"/>
        <v>44287</v>
      </c>
      <c r="V4486" s="698">
        <v>44297</v>
      </c>
      <c r="W4486">
        <v>3650.23</v>
      </c>
    </row>
    <row r="4487" spans="21:23">
      <c r="U4487" s="693">
        <f t="shared" si="70"/>
        <v>44287</v>
      </c>
      <c r="V4487" s="698">
        <v>44298</v>
      </c>
      <c r="W4487">
        <v>3650.23</v>
      </c>
    </row>
    <row r="4488" spans="21:23">
      <c r="U4488" s="693">
        <f t="shared" si="70"/>
        <v>44287</v>
      </c>
      <c r="V4488" s="698">
        <v>44299</v>
      </c>
      <c r="W4488">
        <v>3653.57</v>
      </c>
    </row>
    <row r="4489" spans="21:23">
      <c r="U4489" s="693">
        <f t="shared" si="70"/>
        <v>44287</v>
      </c>
      <c r="V4489" s="698">
        <v>44300</v>
      </c>
      <c r="W4489">
        <v>3666.17</v>
      </c>
    </row>
    <row r="4490" spans="21:23">
      <c r="U4490" s="693">
        <f t="shared" si="70"/>
        <v>44287</v>
      </c>
      <c r="V4490" s="698">
        <v>44301</v>
      </c>
      <c r="W4490">
        <v>3665.49</v>
      </c>
    </row>
    <row r="4491" spans="21:23">
      <c r="U4491" s="693">
        <f t="shared" si="70"/>
        <v>44287</v>
      </c>
      <c r="V4491" s="698">
        <v>44302</v>
      </c>
      <c r="W4491">
        <v>3620.4</v>
      </c>
    </row>
    <row r="4492" spans="21:23">
      <c r="U4492" s="693">
        <f t="shared" si="70"/>
        <v>44287</v>
      </c>
      <c r="V4492" s="698">
        <v>44303</v>
      </c>
      <c r="W4492">
        <v>3595.57</v>
      </c>
    </row>
    <row r="4493" spans="21:23">
      <c r="U4493" s="693">
        <f t="shared" si="70"/>
        <v>44287</v>
      </c>
      <c r="V4493" s="698">
        <v>44304</v>
      </c>
      <c r="W4493">
        <v>3595.57</v>
      </c>
    </row>
    <row r="4494" spans="21:23">
      <c r="U4494" s="693">
        <f t="shared" si="70"/>
        <v>44287</v>
      </c>
      <c r="V4494" s="698">
        <v>44305</v>
      </c>
      <c r="W4494">
        <v>3595.57</v>
      </c>
    </row>
    <row r="4495" spans="21:23">
      <c r="U4495" s="693">
        <f t="shared" si="70"/>
        <v>44287</v>
      </c>
      <c r="V4495" s="698">
        <v>44306</v>
      </c>
      <c r="W4495">
        <v>3606.42</v>
      </c>
    </row>
    <row r="4496" spans="21:23">
      <c r="U4496" s="693">
        <f t="shared" si="70"/>
        <v>44287</v>
      </c>
      <c r="V4496" s="698">
        <v>44307</v>
      </c>
      <c r="W4496">
        <v>3636.26</v>
      </c>
    </row>
    <row r="4497" spans="21:23">
      <c r="U4497" s="693">
        <f t="shared" si="70"/>
        <v>44287</v>
      </c>
      <c r="V4497" s="698">
        <v>44308</v>
      </c>
      <c r="W4497">
        <v>3639.12</v>
      </c>
    </row>
    <row r="4498" spans="21:23">
      <c r="U4498" s="693">
        <f t="shared" si="70"/>
        <v>44287</v>
      </c>
      <c r="V4498" s="698">
        <v>44309</v>
      </c>
      <c r="W4498">
        <v>3630.81</v>
      </c>
    </row>
    <row r="4499" spans="21:23">
      <c r="U4499" s="693">
        <f t="shared" si="70"/>
        <v>44287</v>
      </c>
      <c r="V4499" s="698">
        <v>44310</v>
      </c>
      <c r="W4499">
        <v>3640.07</v>
      </c>
    </row>
    <row r="4500" spans="21:23">
      <c r="U4500" s="693">
        <f t="shared" si="70"/>
        <v>44287</v>
      </c>
      <c r="V4500" s="698">
        <v>44311</v>
      </c>
      <c r="W4500">
        <v>3640.07</v>
      </c>
    </row>
    <row r="4501" spans="21:23">
      <c r="U4501" s="693">
        <f t="shared" si="70"/>
        <v>44287</v>
      </c>
      <c r="V4501" s="698">
        <v>44312</v>
      </c>
      <c r="W4501">
        <v>3640.07</v>
      </c>
    </row>
    <row r="4502" spans="21:23">
      <c r="U4502" s="693">
        <f t="shared" si="70"/>
        <v>44287</v>
      </c>
      <c r="V4502" s="698">
        <v>44313</v>
      </c>
      <c r="W4502">
        <v>3659.62</v>
      </c>
    </row>
    <row r="4503" spans="21:23">
      <c r="U4503" s="693">
        <f t="shared" si="70"/>
        <v>44287</v>
      </c>
      <c r="V4503" s="698">
        <v>44314</v>
      </c>
      <c r="W4503">
        <v>3717.46</v>
      </c>
    </row>
    <row r="4504" spans="21:23">
      <c r="U4504" s="693">
        <f t="shared" si="70"/>
        <v>44287</v>
      </c>
      <c r="V4504" s="698">
        <v>44315</v>
      </c>
      <c r="W4504">
        <v>3699.74</v>
      </c>
    </row>
    <row r="4505" spans="21:23">
      <c r="U4505" s="693">
        <f t="shared" si="70"/>
        <v>44287</v>
      </c>
      <c r="V4505" s="698">
        <v>44316</v>
      </c>
      <c r="W4505">
        <v>3712.89</v>
      </c>
    </row>
    <row r="4506" spans="21:23">
      <c r="U4506" s="693">
        <f t="shared" si="70"/>
        <v>44317</v>
      </c>
      <c r="V4506" s="698">
        <v>44317</v>
      </c>
      <c r="W4506">
        <v>3740.14</v>
      </c>
    </row>
    <row r="4507" spans="21:23">
      <c r="U4507" s="693">
        <f t="shared" si="70"/>
        <v>44317</v>
      </c>
      <c r="V4507" s="698">
        <v>44318</v>
      </c>
      <c r="W4507">
        <v>3740.14</v>
      </c>
    </row>
    <row r="4508" spans="21:23">
      <c r="U4508" s="693">
        <f t="shared" si="70"/>
        <v>44317</v>
      </c>
      <c r="V4508" s="698">
        <v>44319</v>
      </c>
      <c r="W4508">
        <v>3740.14</v>
      </c>
    </row>
    <row r="4509" spans="21:23">
      <c r="U4509" s="693">
        <f t="shared" si="70"/>
        <v>44317</v>
      </c>
      <c r="V4509" s="698">
        <v>44320</v>
      </c>
      <c r="W4509">
        <v>3816.65</v>
      </c>
    </row>
    <row r="4510" spans="21:23">
      <c r="U4510" s="693">
        <f t="shared" si="70"/>
        <v>44317</v>
      </c>
      <c r="V4510" s="698">
        <v>44321</v>
      </c>
      <c r="W4510">
        <v>3831.35</v>
      </c>
    </row>
    <row r="4511" spans="21:23">
      <c r="U4511" s="693">
        <f t="shared" si="70"/>
        <v>44317</v>
      </c>
      <c r="V4511" s="698">
        <v>44322</v>
      </c>
      <c r="W4511">
        <v>3846.28</v>
      </c>
    </row>
    <row r="4512" spans="21:23">
      <c r="U4512" s="693">
        <f t="shared" si="70"/>
        <v>44317</v>
      </c>
      <c r="V4512" s="698">
        <v>44323</v>
      </c>
      <c r="W4512">
        <v>3800.33</v>
      </c>
    </row>
    <row r="4513" spans="21:23">
      <c r="U4513" s="693">
        <f t="shared" si="70"/>
        <v>44317</v>
      </c>
      <c r="V4513" s="698">
        <v>44324</v>
      </c>
      <c r="W4513">
        <v>3765.33</v>
      </c>
    </row>
    <row r="4514" spans="21:23">
      <c r="U4514" s="693">
        <f t="shared" si="70"/>
        <v>44317</v>
      </c>
      <c r="V4514" s="698">
        <v>44325</v>
      </c>
      <c r="W4514">
        <v>3765.33</v>
      </c>
    </row>
    <row r="4515" spans="21:23">
      <c r="U4515" s="693">
        <f t="shared" si="70"/>
        <v>44317</v>
      </c>
      <c r="V4515" s="698">
        <v>44326</v>
      </c>
      <c r="W4515">
        <v>3765.33</v>
      </c>
    </row>
    <row r="4516" spans="21:23">
      <c r="U4516" s="693">
        <f t="shared" si="70"/>
        <v>44317</v>
      </c>
      <c r="V4516" s="698">
        <v>44327</v>
      </c>
      <c r="W4516">
        <v>3714.94</v>
      </c>
    </row>
    <row r="4517" spans="21:23">
      <c r="U4517" s="693">
        <f t="shared" si="70"/>
        <v>44317</v>
      </c>
      <c r="V4517" s="698">
        <v>44328</v>
      </c>
      <c r="W4517">
        <v>3703.2</v>
      </c>
    </row>
    <row r="4518" spans="21:23">
      <c r="U4518" s="693">
        <f t="shared" si="70"/>
        <v>44317</v>
      </c>
      <c r="V4518" s="698">
        <v>44329</v>
      </c>
      <c r="W4518">
        <v>3734.09</v>
      </c>
    </row>
    <row r="4519" spans="21:23">
      <c r="U4519" s="693">
        <f t="shared" si="70"/>
        <v>44317</v>
      </c>
      <c r="V4519" s="698">
        <v>44330</v>
      </c>
      <c r="W4519">
        <v>3728.09</v>
      </c>
    </row>
    <row r="4520" spans="21:23">
      <c r="U4520" s="693">
        <f t="shared" si="70"/>
        <v>44317</v>
      </c>
      <c r="V4520" s="698">
        <v>44331</v>
      </c>
      <c r="W4520">
        <v>3682.84</v>
      </c>
    </row>
    <row r="4521" spans="21:23">
      <c r="U4521" s="693">
        <f t="shared" si="70"/>
        <v>44317</v>
      </c>
      <c r="V4521" s="698">
        <v>44332</v>
      </c>
      <c r="W4521">
        <v>3682.84</v>
      </c>
    </row>
    <row r="4522" spans="21:23">
      <c r="U4522" s="693">
        <f t="shared" si="70"/>
        <v>44317</v>
      </c>
      <c r="V4522" s="698">
        <v>44333</v>
      </c>
      <c r="W4522">
        <v>3682.84</v>
      </c>
    </row>
    <row r="4523" spans="21:23">
      <c r="U4523" s="693">
        <f t="shared" si="70"/>
        <v>44317</v>
      </c>
      <c r="V4523" s="698">
        <v>44334</v>
      </c>
      <c r="W4523">
        <v>3682.84</v>
      </c>
    </row>
    <row r="4524" spans="21:23">
      <c r="U4524" s="693">
        <f t="shared" si="70"/>
        <v>44317</v>
      </c>
      <c r="V4524" s="698">
        <v>44335</v>
      </c>
      <c r="W4524">
        <v>3655.74</v>
      </c>
    </row>
    <row r="4525" spans="21:23">
      <c r="U4525" s="693">
        <f t="shared" si="70"/>
        <v>44317</v>
      </c>
      <c r="V4525" s="698">
        <v>44336</v>
      </c>
      <c r="W4525">
        <v>3682.66</v>
      </c>
    </row>
    <row r="4526" spans="21:23">
      <c r="U4526" s="693">
        <f t="shared" si="70"/>
        <v>44317</v>
      </c>
      <c r="V4526" s="698">
        <v>44337</v>
      </c>
      <c r="W4526">
        <v>3721.57</v>
      </c>
    </row>
    <row r="4527" spans="21:23">
      <c r="U4527" s="693">
        <f t="shared" si="70"/>
        <v>44317</v>
      </c>
      <c r="V4527" s="698">
        <v>44338</v>
      </c>
      <c r="W4527">
        <v>3738.19</v>
      </c>
    </row>
    <row r="4528" spans="21:23">
      <c r="U4528" s="693">
        <f t="shared" si="70"/>
        <v>44317</v>
      </c>
      <c r="V4528" s="698">
        <v>44339</v>
      </c>
      <c r="W4528">
        <v>3738.19</v>
      </c>
    </row>
    <row r="4529" spans="21:23">
      <c r="U4529" s="693">
        <f t="shared" si="70"/>
        <v>44317</v>
      </c>
      <c r="V4529" s="698">
        <v>44340</v>
      </c>
      <c r="W4529">
        <v>3738.19</v>
      </c>
    </row>
    <row r="4530" spans="21:23">
      <c r="U4530" s="693">
        <f t="shared" si="70"/>
        <v>44317</v>
      </c>
      <c r="V4530" s="698">
        <v>44341</v>
      </c>
      <c r="W4530">
        <v>3750.66</v>
      </c>
    </row>
    <row r="4531" spans="21:23">
      <c r="U4531" s="693">
        <f t="shared" si="70"/>
        <v>44317</v>
      </c>
      <c r="V4531" s="698">
        <v>44342</v>
      </c>
      <c r="W4531">
        <v>3735.41</v>
      </c>
    </row>
    <row r="4532" spans="21:23">
      <c r="U4532" s="693">
        <f t="shared" si="70"/>
        <v>44317</v>
      </c>
      <c r="V4532" s="698">
        <v>44343</v>
      </c>
      <c r="W4532">
        <v>3747.48</v>
      </c>
    </row>
    <row r="4533" spans="21:23">
      <c r="U4533" s="693">
        <f t="shared" si="70"/>
        <v>44317</v>
      </c>
      <c r="V4533" s="698">
        <v>44344</v>
      </c>
      <c r="W4533">
        <v>3729.02</v>
      </c>
    </row>
    <row r="4534" spans="21:23">
      <c r="U4534" s="693">
        <f t="shared" si="70"/>
        <v>44317</v>
      </c>
      <c r="V4534" s="698">
        <v>44345</v>
      </c>
      <c r="W4534">
        <v>3715.28</v>
      </c>
    </row>
    <row r="4535" spans="21:23">
      <c r="U4535" s="693">
        <f t="shared" si="70"/>
        <v>44317</v>
      </c>
      <c r="V4535" s="698">
        <v>44346</v>
      </c>
      <c r="W4535">
        <v>3715.28</v>
      </c>
    </row>
    <row r="4536" spans="21:23">
      <c r="U4536" s="693">
        <f t="shared" si="70"/>
        <v>44317</v>
      </c>
      <c r="V4536" s="698">
        <v>44347</v>
      </c>
      <c r="W4536">
        <v>3715.28</v>
      </c>
    </row>
    <row r="4537" spans="21:23">
      <c r="U4537" s="693">
        <f t="shared" si="70"/>
        <v>44348</v>
      </c>
      <c r="V4537" s="698">
        <v>44348</v>
      </c>
      <c r="W4537">
        <v>3715.28</v>
      </c>
    </row>
    <row r="4538" spans="21:23">
      <c r="U4538" s="693">
        <f t="shared" si="70"/>
        <v>44348</v>
      </c>
      <c r="V4538" s="698">
        <v>44349</v>
      </c>
      <c r="W4538">
        <v>3671.38</v>
      </c>
    </row>
    <row r="4539" spans="21:23">
      <c r="U4539" s="693">
        <f t="shared" si="70"/>
        <v>44348</v>
      </c>
      <c r="V4539" s="698">
        <v>44350</v>
      </c>
      <c r="W4539">
        <v>3642.29</v>
      </c>
    </row>
    <row r="4540" spans="21:23">
      <c r="U4540" s="693">
        <f t="shared" si="70"/>
        <v>44348</v>
      </c>
      <c r="V4540" s="698">
        <v>44351</v>
      </c>
      <c r="W4540">
        <v>3657.41</v>
      </c>
    </row>
    <row r="4541" spans="21:23">
      <c r="U4541" s="693">
        <f t="shared" si="70"/>
        <v>44348</v>
      </c>
      <c r="V4541" s="698">
        <v>44352</v>
      </c>
      <c r="W4541">
        <v>3609.2</v>
      </c>
    </row>
    <row r="4542" spans="21:23">
      <c r="U4542" s="693">
        <f t="shared" si="70"/>
        <v>44348</v>
      </c>
      <c r="V4542" s="698">
        <v>44353</v>
      </c>
      <c r="W4542">
        <v>3609.2</v>
      </c>
    </row>
    <row r="4543" spans="21:23">
      <c r="U4543" s="693">
        <f t="shared" si="70"/>
        <v>44348</v>
      </c>
      <c r="V4543" s="698">
        <v>44354</v>
      </c>
      <c r="W4543">
        <v>3609.2</v>
      </c>
    </row>
    <row r="4544" spans="21:23">
      <c r="U4544" s="693">
        <f t="shared" si="70"/>
        <v>44348</v>
      </c>
      <c r="V4544" s="698">
        <v>44355</v>
      </c>
      <c r="W4544">
        <v>3609.2</v>
      </c>
    </row>
    <row r="4545" spans="21:23">
      <c r="U4545" s="693">
        <f t="shared" si="70"/>
        <v>44348</v>
      </c>
      <c r="V4545" s="698">
        <v>44356</v>
      </c>
      <c r="W4545">
        <v>3597.18</v>
      </c>
    </row>
    <row r="4546" spans="21:23">
      <c r="U4546" s="693">
        <f t="shared" si="70"/>
        <v>44348</v>
      </c>
      <c r="V4546" s="698">
        <v>44357</v>
      </c>
      <c r="W4546">
        <v>3588.41</v>
      </c>
    </row>
    <row r="4547" spans="21:23">
      <c r="U4547" s="693">
        <f t="shared" ref="U4547:U4610" si="71">+DATE(YEAR(V4547),MONTH(V4547),1)</f>
        <v>44348</v>
      </c>
      <c r="V4547" s="698">
        <v>44358</v>
      </c>
      <c r="W4547">
        <v>3589.86</v>
      </c>
    </row>
    <row r="4548" spans="21:23">
      <c r="U4548" s="693">
        <f t="shared" si="71"/>
        <v>44348</v>
      </c>
      <c r="V4548" s="698">
        <v>44359</v>
      </c>
      <c r="W4548">
        <v>3626.02</v>
      </c>
    </row>
    <row r="4549" spans="21:23">
      <c r="U4549" s="693">
        <f t="shared" si="71"/>
        <v>44348</v>
      </c>
      <c r="V4549" s="698">
        <v>44360</v>
      </c>
      <c r="W4549">
        <v>3626.02</v>
      </c>
    </row>
    <row r="4550" spans="21:23">
      <c r="U4550" s="693">
        <f t="shared" si="71"/>
        <v>44348</v>
      </c>
      <c r="V4550" s="698">
        <v>44361</v>
      </c>
      <c r="W4550">
        <v>3626.02</v>
      </c>
    </row>
    <row r="4551" spans="21:23">
      <c r="U4551" s="693">
        <f t="shared" si="71"/>
        <v>44348</v>
      </c>
      <c r="V4551" s="698">
        <v>44362</v>
      </c>
      <c r="W4551">
        <v>3626.02</v>
      </c>
    </row>
    <row r="4552" spans="21:23">
      <c r="U4552" s="693">
        <f t="shared" si="71"/>
        <v>44348</v>
      </c>
      <c r="V4552" s="698">
        <v>44363</v>
      </c>
      <c r="W4552">
        <v>3693.35</v>
      </c>
    </row>
    <row r="4553" spans="21:23">
      <c r="U4553" s="693">
        <f t="shared" si="71"/>
        <v>44348</v>
      </c>
      <c r="V4553" s="698">
        <v>44364</v>
      </c>
      <c r="W4553">
        <v>3690.56</v>
      </c>
    </row>
    <row r="4554" spans="21:23">
      <c r="U4554" s="693">
        <f t="shared" si="71"/>
        <v>44348</v>
      </c>
      <c r="V4554" s="698">
        <v>44365</v>
      </c>
      <c r="W4554">
        <v>3730.45</v>
      </c>
    </row>
    <row r="4555" spans="21:23">
      <c r="U4555" s="693">
        <f t="shared" si="71"/>
        <v>44348</v>
      </c>
      <c r="V4555" s="698">
        <v>44366</v>
      </c>
      <c r="W4555">
        <v>3753.77</v>
      </c>
    </row>
    <row r="4556" spans="21:23">
      <c r="U4556" s="693">
        <f t="shared" si="71"/>
        <v>44348</v>
      </c>
      <c r="V4556" s="698">
        <v>44367</v>
      </c>
      <c r="W4556">
        <v>3753.77</v>
      </c>
    </row>
    <row r="4557" spans="21:23">
      <c r="U4557" s="693">
        <f t="shared" si="71"/>
        <v>44348</v>
      </c>
      <c r="V4557" s="698">
        <v>44368</v>
      </c>
      <c r="W4557">
        <v>3753.77</v>
      </c>
    </row>
    <row r="4558" spans="21:23">
      <c r="U4558" s="693">
        <f t="shared" si="71"/>
        <v>44348</v>
      </c>
      <c r="V4558" s="698">
        <v>44369</v>
      </c>
      <c r="W4558">
        <v>3758.08</v>
      </c>
    </row>
    <row r="4559" spans="21:23">
      <c r="U4559" s="693">
        <f t="shared" si="71"/>
        <v>44348</v>
      </c>
      <c r="V4559" s="698">
        <v>44370</v>
      </c>
      <c r="W4559">
        <v>3784.45</v>
      </c>
    </row>
    <row r="4560" spans="21:23">
      <c r="U4560" s="693">
        <f t="shared" si="71"/>
        <v>44348</v>
      </c>
      <c r="V4560" s="698">
        <v>44371</v>
      </c>
      <c r="W4560">
        <v>3773.11</v>
      </c>
    </row>
    <row r="4561" spans="21:23">
      <c r="U4561" s="693">
        <f t="shared" si="71"/>
        <v>44348</v>
      </c>
      <c r="V4561" s="698">
        <v>44372</v>
      </c>
      <c r="W4561">
        <v>3770.35</v>
      </c>
    </row>
    <row r="4562" spans="21:23">
      <c r="U4562" s="693">
        <f t="shared" si="71"/>
        <v>44348</v>
      </c>
      <c r="V4562" s="698">
        <v>44373</v>
      </c>
      <c r="W4562">
        <v>3739.03</v>
      </c>
    </row>
    <row r="4563" spans="21:23">
      <c r="U4563" s="693">
        <f t="shared" si="71"/>
        <v>44348</v>
      </c>
      <c r="V4563" s="698">
        <v>44374</v>
      </c>
      <c r="W4563">
        <v>3739.03</v>
      </c>
    </row>
    <row r="4564" spans="21:23">
      <c r="U4564" s="693">
        <f t="shared" si="71"/>
        <v>44348</v>
      </c>
      <c r="V4564" s="698">
        <v>44375</v>
      </c>
      <c r="W4564">
        <v>3739.03</v>
      </c>
    </row>
    <row r="4565" spans="21:23">
      <c r="U4565" s="693">
        <f t="shared" si="71"/>
        <v>44348</v>
      </c>
      <c r="V4565" s="698">
        <v>44376</v>
      </c>
      <c r="W4565">
        <v>3713.17</v>
      </c>
    </row>
    <row r="4566" spans="21:23">
      <c r="U4566" s="693">
        <f t="shared" si="71"/>
        <v>44348</v>
      </c>
      <c r="V4566" s="698">
        <v>44377</v>
      </c>
      <c r="W4566">
        <v>3756.67</v>
      </c>
    </row>
    <row r="4567" spans="21:23">
      <c r="U4567" s="693">
        <f t="shared" si="71"/>
        <v>44378</v>
      </c>
      <c r="V4567" s="698">
        <v>44378</v>
      </c>
      <c r="W4567">
        <v>3748.5</v>
      </c>
    </row>
    <row r="4568" spans="21:23">
      <c r="U4568" s="693">
        <f t="shared" si="71"/>
        <v>44378</v>
      </c>
      <c r="V4568" s="698">
        <v>44379</v>
      </c>
      <c r="W4568">
        <v>3775.53</v>
      </c>
    </row>
    <row r="4569" spans="21:23">
      <c r="U4569" s="693">
        <f t="shared" si="71"/>
        <v>44378</v>
      </c>
      <c r="V4569" s="698">
        <v>44380</v>
      </c>
      <c r="W4569">
        <v>3777.17</v>
      </c>
    </row>
    <row r="4570" spans="21:23">
      <c r="U4570" s="693">
        <f t="shared" si="71"/>
        <v>44378</v>
      </c>
      <c r="V4570" s="698">
        <v>44381</v>
      </c>
      <c r="W4570">
        <v>3777.17</v>
      </c>
    </row>
    <row r="4571" spans="21:23">
      <c r="U4571" s="693">
        <f t="shared" si="71"/>
        <v>44378</v>
      </c>
      <c r="V4571" s="698">
        <v>44382</v>
      </c>
      <c r="W4571">
        <v>3777.17</v>
      </c>
    </row>
    <row r="4572" spans="21:23">
      <c r="U4572" s="693">
        <f t="shared" si="71"/>
        <v>44378</v>
      </c>
      <c r="V4572" s="698">
        <v>44383</v>
      </c>
      <c r="W4572">
        <v>3777.17</v>
      </c>
    </row>
    <row r="4573" spans="21:23">
      <c r="U4573" s="693">
        <f t="shared" si="71"/>
        <v>44378</v>
      </c>
      <c r="V4573" s="698">
        <v>44384</v>
      </c>
      <c r="W4573">
        <v>3782.27</v>
      </c>
    </row>
    <row r="4574" spans="21:23">
      <c r="U4574" s="693">
        <f t="shared" si="71"/>
        <v>44378</v>
      </c>
      <c r="V4574" s="698">
        <v>44385</v>
      </c>
      <c r="W4574">
        <v>3815.22</v>
      </c>
    </row>
    <row r="4575" spans="21:23">
      <c r="U4575" s="693">
        <f t="shared" si="71"/>
        <v>44378</v>
      </c>
      <c r="V4575" s="698">
        <v>44386</v>
      </c>
      <c r="W4575">
        <v>3850.46</v>
      </c>
    </row>
    <row r="4576" spans="21:23">
      <c r="U4576" s="693">
        <f t="shared" si="71"/>
        <v>44378</v>
      </c>
      <c r="V4576" s="698">
        <v>44387</v>
      </c>
      <c r="W4576">
        <v>3829.46</v>
      </c>
    </row>
    <row r="4577" spans="21:23">
      <c r="U4577" s="693">
        <f t="shared" si="71"/>
        <v>44378</v>
      </c>
      <c r="V4577" s="698">
        <v>44388</v>
      </c>
      <c r="W4577">
        <v>3829.46</v>
      </c>
    </row>
    <row r="4578" spans="21:23">
      <c r="U4578" s="693">
        <f t="shared" si="71"/>
        <v>44378</v>
      </c>
      <c r="V4578" s="698">
        <v>44389</v>
      </c>
      <c r="W4578">
        <v>3829.46</v>
      </c>
    </row>
    <row r="4579" spans="21:23">
      <c r="U4579" s="693">
        <f t="shared" si="71"/>
        <v>44378</v>
      </c>
      <c r="V4579" s="698">
        <v>44390</v>
      </c>
      <c r="W4579">
        <v>3824.08</v>
      </c>
    </row>
    <row r="4580" spans="21:23">
      <c r="U4580" s="693">
        <f t="shared" si="71"/>
        <v>44378</v>
      </c>
      <c r="V4580" s="698">
        <v>44391</v>
      </c>
      <c r="W4580">
        <v>3826.85</v>
      </c>
    </row>
    <row r="4581" spans="21:23">
      <c r="U4581" s="693">
        <f t="shared" si="71"/>
        <v>44378</v>
      </c>
      <c r="V4581" s="698">
        <v>44392</v>
      </c>
      <c r="W4581">
        <v>3796.07</v>
      </c>
    </row>
    <row r="4582" spans="21:23">
      <c r="U4582" s="693">
        <f t="shared" si="71"/>
        <v>44378</v>
      </c>
      <c r="V4582" s="698">
        <v>44393</v>
      </c>
      <c r="W4582">
        <v>3809.07</v>
      </c>
    </row>
    <row r="4583" spans="21:23">
      <c r="U4583" s="693">
        <f t="shared" si="71"/>
        <v>44378</v>
      </c>
      <c r="V4583" s="698">
        <v>44394</v>
      </c>
      <c r="W4583">
        <v>3808.46</v>
      </c>
    </row>
    <row r="4584" spans="21:23">
      <c r="U4584" s="693">
        <f t="shared" si="71"/>
        <v>44378</v>
      </c>
      <c r="V4584" s="698">
        <v>44395</v>
      </c>
      <c r="W4584">
        <v>3808.46</v>
      </c>
    </row>
    <row r="4585" spans="21:23">
      <c r="U4585" s="693">
        <f t="shared" si="71"/>
        <v>44378</v>
      </c>
      <c r="V4585" s="698">
        <v>44396</v>
      </c>
      <c r="W4585">
        <v>3808.46</v>
      </c>
    </row>
    <row r="4586" spans="21:23">
      <c r="U4586" s="693">
        <f t="shared" si="71"/>
        <v>44378</v>
      </c>
      <c r="V4586" s="698">
        <v>44397</v>
      </c>
      <c r="W4586">
        <v>3842.97</v>
      </c>
    </row>
    <row r="4587" spans="21:23">
      <c r="U4587" s="693">
        <f t="shared" si="71"/>
        <v>44378</v>
      </c>
      <c r="V4587" s="698">
        <v>44398</v>
      </c>
      <c r="W4587">
        <v>3842.97</v>
      </c>
    </row>
    <row r="4588" spans="21:23">
      <c r="U4588" s="693">
        <f t="shared" si="71"/>
        <v>44378</v>
      </c>
      <c r="V4588" s="698">
        <v>44399</v>
      </c>
      <c r="W4588">
        <v>3855.68</v>
      </c>
    </row>
    <row r="4589" spans="21:23">
      <c r="U4589" s="693">
        <f t="shared" si="71"/>
        <v>44378</v>
      </c>
      <c r="V4589" s="698">
        <v>44400</v>
      </c>
      <c r="W4589">
        <v>3866.86</v>
      </c>
    </row>
    <row r="4590" spans="21:23">
      <c r="U4590" s="693">
        <f t="shared" si="71"/>
        <v>44378</v>
      </c>
      <c r="V4590" s="698">
        <v>44401</v>
      </c>
      <c r="W4590">
        <v>3874.44</v>
      </c>
    </row>
    <row r="4591" spans="21:23">
      <c r="U4591" s="693">
        <f t="shared" si="71"/>
        <v>44378</v>
      </c>
      <c r="V4591" s="698">
        <v>44402</v>
      </c>
      <c r="W4591">
        <v>3874.44</v>
      </c>
    </row>
    <row r="4592" spans="21:23">
      <c r="U4592" s="693">
        <f t="shared" si="71"/>
        <v>44378</v>
      </c>
      <c r="V4592" s="698">
        <v>44403</v>
      </c>
      <c r="W4592">
        <v>3874.44</v>
      </c>
    </row>
    <row r="4593" spans="21:23">
      <c r="U4593" s="693">
        <f t="shared" si="71"/>
        <v>44378</v>
      </c>
      <c r="V4593" s="698">
        <v>44404</v>
      </c>
      <c r="W4593">
        <v>3904.17</v>
      </c>
    </row>
    <row r="4594" spans="21:23">
      <c r="U4594" s="693">
        <f t="shared" si="71"/>
        <v>44378</v>
      </c>
      <c r="V4594" s="698">
        <v>44405</v>
      </c>
      <c r="W4594">
        <v>3918.49</v>
      </c>
    </row>
    <row r="4595" spans="21:23">
      <c r="U4595" s="693">
        <f t="shared" si="71"/>
        <v>44378</v>
      </c>
      <c r="V4595" s="698">
        <v>44406</v>
      </c>
      <c r="W4595">
        <v>3902.18</v>
      </c>
    </row>
    <row r="4596" spans="21:23">
      <c r="U4596" s="693">
        <f t="shared" si="71"/>
        <v>44378</v>
      </c>
      <c r="V4596" s="698">
        <v>44407</v>
      </c>
      <c r="W4596">
        <v>3836.95</v>
      </c>
    </row>
    <row r="4597" spans="21:23">
      <c r="U4597" s="693">
        <f t="shared" si="71"/>
        <v>44378</v>
      </c>
      <c r="V4597" s="698">
        <v>44408</v>
      </c>
      <c r="W4597">
        <v>3867.88</v>
      </c>
    </row>
    <row r="4598" spans="21:23">
      <c r="U4598" s="693">
        <f t="shared" si="71"/>
        <v>44409</v>
      </c>
      <c r="V4598" s="698">
        <v>44409</v>
      </c>
      <c r="W4598">
        <v>3867.88</v>
      </c>
    </row>
    <row r="4599" spans="21:23">
      <c r="U4599" s="693">
        <f t="shared" si="71"/>
        <v>44409</v>
      </c>
      <c r="V4599" s="698">
        <v>44410</v>
      </c>
      <c r="W4599">
        <v>3867.88</v>
      </c>
    </row>
    <row r="4600" spans="21:23">
      <c r="U4600" s="693">
        <f t="shared" si="71"/>
        <v>44409</v>
      </c>
      <c r="V4600" s="698">
        <v>44411</v>
      </c>
      <c r="W4600">
        <v>3865.46</v>
      </c>
    </row>
    <row r="4601" spans="21:23">
      <c r="U4601" s="693">
        <f t="shared" si="71"/>
        <v>44409</v>
      </c>
      <c r="V4601" s="698">
        <v>44412</v>
      </c>
      <c r="W4601">
        <v>3913.59</v>
      </c>
    </row>
    <row r="4602" spans="21:23">
      <c r="U4602" s="693">
        <f t="shared" si="71"/>
        <v>44409</v>
      </c>
      <c r="V4602" s="698">
        <v>44413</v>
      </c>
      <c r="W4602">
        <v>3911.36</v>
      </c>
    </row>
    <row r="4603" spans="21:23">
      <c r="U4603" s="693">
        <f t="shared" si="71"/>
        <v>44409</v>
      </c>
      <c r="V4603" s="698">
        <v>44414</v>
      </c>
      <c r="W4603">
        <v>3910.81</v>
      </c>
    </row>
    <row r="4604" spans="21:23">
      <c r="U4604" s="693">
        <f t="shared" si="71"/>
        <v>44409</v>
      </c>
      <c r="V4604" s="698">
        <v>44415</v>
      </c>
      <c r="W4604">
        <v>3949.33</v>
      </c>
    </row>
    <row r="4605" spans="21:23">
      <c r="U4605" s="693">
        <f t="shared" si="71"/>
        <v>44409</v>
      </c>
      <c r="V4605" s="698">
        <v>44416</v>
      </c>
      <c r="W4605">
        <v>3949.33</v>
      </c>
    </row>
    <row r="4606" spans="21:23">
      <c r="U4606" s="693">
        <f t="shared" si="71"/>
        <v>44409</v>
      </c>
      <c r="V4606" s="698">
        <v>44417</v>
      </c>
      <c r="W4606">
        <v>3949.33</v>
      </c>
    </row>
    <row r="4607" spans="21:23">
      <c r="U4607" s="693">
        <f t="shared" si="71"/>
        <v>44409</v>
      </c>
      <c r="V4607" s="698">
        <v>44418</v>
      </c>
      <c r="W4607">
        <v>3988.27</v>
      </c>
    </row>
    <row r="4608" spans="21:23">
      <c r="U4608" s="693">
        <f t="shared" si="71"/>
        <v>44409</v>
      </c>
      <c r="V4608" s="698">
        <v>44419</v>
      </c>
      <c r="W4608">
        <v>3979.8</v>
      </c>
    </row>
    <row r="4609" spans="21:23">
      <c r="U4609" s="693">
        <f t="shared" si="71"/>
        <v>44409</v>
      </c>
      <c r="V4609" s="698">
        <v>44420</v>
      </c>
      <c r="W4609">
        <v>3950.43</v>
      </c>
    </row>
    <row r="4610" spans="21:23">
      <c r="U4610" s="693">
        <f t="shared" si="71"/>
        <v>44409</v>
      </c>
      <c r="V4610" s="698">
        <v>44421</v>
      </c>
      <c r="W4610">
        <v>3887.07</v>
      </c>
    </row>
    <row r="4611" spans="21:23">
      <c r="U4611" s="693">
        <f t="shared" ref="U4611:U4674" si="72">+DATE(YEAR(V4611),MONTH(V4611),1)</f>
        <v>44409</v>
      </c>
      <c r="V4611" s="698">
        <v>44422</v>
      </c>
      <c r="W4611">
        <v>3830.25</v>
      </c>
    </row>
    <row r="4612" spans="21:23">
      <c r="U4612" s="693">
        <f t="shared" si="72"/>
        <v>44409</v>
      </c>
      <c r="V4612" s="698">
        <v>44423</v>
      </c>
      <c r="W4612">
        <v>3830.25</v>
      </c>
    </row>
    <row r="4613" spans="21:23">
      <c r="U4613" s="693">
        <f t="shared" si="72"/>
        <v>44409</v>
      </c>
      <c r="V4613" s="698">
        <v>44424</v>
      </c>
      <c r="W4613">
        <v>3830.25</v>
      </c>
    </row>
    <row r="4614" spans="21:23">
      <c r="U4614" s="693">
        <f t="shared" si="72"/>
        <v>44409</v>
      </c>
      <c r="V4614" s="698">
        <v>44425</v>
      </c>
      <c r="W4614">
        <v>3830.25</v>
      </c>
    </row>
    <row r="4615" spans="21:23">
      <c r="U4615" s="693">
        <f t="shared" si="72"/>
        <v>44409</v>
      </c>
      <c r="V4615" s="698">
        <v>44426</v>
      </c>
      <c r="W4615">
        <v>3868.41</v>
      </c>
    </row>
    <row r="4616" spans="21:23">
      <c r="U4616" s="693">
        <f t="shared" si="72"/>
        <v>44409</v>
      </c>
      <c r="V4616" s="698">
        <v>44427</v>
      </c>
      <c r="W4616">
        <v>3861.33</v>
      </c>
    </row>
    <row r="4617" spans="21:23">
      <c r="U4617" s="693">
        <f t="shared" si="72"/>
        <v>44409</v>
      </c>
      <c r="V4617" s="698">
        <v>44428</v>
      </c>
      <c r="W4617">
        <v>3876.08</v>
      </c>
    </row>
    <row r="4618" spans="21:23">
      <c r="U4618" s="693">
        <f t="shared" si="72"/>
        <v>44409</v>
      </c>
      <c r="V4618" s="698">
        <v>44429</v>
      </c>
      <c r="W4618">
        <v>3874.95</v>
      </c>
    </row>
    <row r="4619" spans="21:23">
      <c r="U4619" s="693">
        <f t="shared" si="72"/>
        <v>44409</v>
      </c>
      <c r="V4619" s="698">
        <v>44430</v>
      </c>
      <c r="W4619">
        <v>3874.95</v>
      </c>
    </row>
    <row r="4620" spans="21:23">
      <c r="U4620" s="693">
        <f t="shared" si="72"/>
        <v>44409</v>
      </c>
      <c r="V4620" s="698">
        <v>44431</v>
      </c>
      <c r="W4620">
        <v>3874.95</v>
      </c>
    </row>
    <row r="4621" spans="21:23">
      <c r="U4621" s="693">
        <f t="shared" si="72"/>
        <v>44409</v>
      </c>
      <c r="V4621" s="698">
        <v>44432</v>
      </c>
      <c r="W4621">
        <v>3867.73</v>
      </c>
    </row>
    <row r="4622" spans="21:23">
      <c r="U4622" s="693">
        <f t="shared" si="72"/>
        <v>44409</v>
      </c>
      <c r="V4622" s="698">
        <v>44433</v>
      </c>
      <c r="W4622">
        <v>3861.88</v>
      </c>
    </row>
    <row r="4623" spans="21:23">
      <c r="U4623" s="693">
        <f t="shared" si="72"/>
        <v>44409</v>
      </c>
      <c r="V4623" s="698">
        <v>44434</v>
      </c>
      <c r="W4623">
        <v>3865.04</v>
      </c>
    </row>
    <row r="4624" spans="21:23">
      <c r="U4624" s="693">
        <f t="shared" si="72"/>
        <v>44409</v>
      </c>
      <c r="V4624" s="698">
        <v>44435</v>
      </c>
      <c r="W4624">
        <v>3870.57</v>
      </c>
    </row>
    <row r="4625" spans="21:23">
      <c r="U4625" s="693">
        <f t="shared" si="72"/>
        <v>44409</v>
      </c>
      <c r="V4625" s="698">
        <v>44436</v>
      </c>
      <c r="W4625">
        <v>3834.13</v>
      </c>
    </row>
    <row r="4626" spans="21:23">
      <c r="U4626" s="693">
        <f t="shared" si="72"/>
        <v>44409</v>
      </c>
      <c r="V4626" s="698">
        <v>44437</v>
      </c>
      <c r="W4626">
        <v>3834.13</v>
      </c>
    </row>
    <row r="4627" spans="21:23">
      <c r="U4627" s="693">
        <f t="shared" si="72"/>
        <v>44409</v>
      </c>
      <c r="V4627" s="698">
        <v>44438</v>
      </c>
      <c r="W4627">
        <v>3834.13</v>
      </c>
    </row>
    <row r="4628" spans="21:23">
      <c r="U4628" s="693">
        <f t="shared" si="72"/>
        <v>44409</v>
      </c>
      <c r="V4628" s="698">
        <v>44439</v>
      </c>
      <c r="W4628">
        <v>3806.87</v>
      </c>
    </row>
    <row r="4629" spans="21:23">
      <c r="U4629" s="693">
        <f t="shared" si="72"/>
        <v>44440</v>
      </c>
      <c r="V4629" s="698">
        <v>44440</v>
      </c>
      <c r="W4629">
        <v>3774</v>
      </c>
    </row>
    <row r="4630" spans="21:23">
      <c r="U4630" s="693">
        <f t="shared" si="72"/>
        <v>44440</v>
      </c>
      <c r="V4630" s="698">
        <v>44441</v>
      </c>
      <c r="W4630">
        <v>3753.3</v>
      </c>
    </row>
    <row r="4631" spans="21:23">
      <c r="U4631" s="693">
        <f t="shared" si="72"/>
        <v>44440</v>
      </c>
      <c r="V4631" s="698">
        <v>44442</v>
      </c>
      <c r="W4631">
        <v>3780.85</v>
      </c>
    </row>
    <row r="4632" spans="21:23">
      <c r="U4632" s="693">
        <f t="shared" si="72"/>
        <v>44440</v>
      </c>
      <c r="V4632" s="698">
        <v>44443</v>
      </c>
      <c r="W4632">
        <v>3790.04</v>
      </c>
    </row>
    <row r="4633" spans="21:23">
      <c r="U4633" s="693">
        <f t="shared" si="72"/>
        <v>44440</v>
      </c>
      <c r="V4633" s="698">
        <v>44444</v>
      </c>
      <c r="W4633">
        <v>3790.04</v>
      </c>
    </row>
    <row r="4634" spans="21:23">
      <c r="U4634" s="693">
        <f t="shared" si="72"/>
        <v>44440</v>
      </c>
      <c r="V4634" s="698">
        <v>44445</v>
      </c>
      <c r="W4634">
        <v>3790.04</v>
      </c>
    </row>
    <row r="4635" spans="21:23">
      <c r="U4635" s="693">
        <f t="shared" si="72"/>
        <v>44440</v>
      </c>
      <c r="V4635" s="698">
        <v>44446</v>
      </c>
      <c r="W4635">
        <v>3790.04</v>
      </c>
    </row>
    <row r="4636" spans="21:23">
      <c r="U4636" s="693">
        <f t="shared" si="72"/>
        <v>44440</v>
      </c>
      <c r="V4636" s="698">
        <v>44447</v>
      </c>
      <c r="W4636">
        <v>3812.76</v>
      </c>
    </row>
    <row r="4637" spans="21:23">
      <c r="U4637" s="693">
        <f t="shared" si="72"/>
        <v>44440</v>
      </c>
      <c r="V4637" s="698">
        <v>44448</v>
      </c>
      <c r="W4637">
        <v>3816.14</v>
      </c>
    </row>
    <row r="4638" spans="21:23">
      <c r="U4638" s="693">
        <f t="shared" si="72"/>
        <v>44440</v>
      </c>
      <c r="V4638" s="698">
        <v>44449</v>
      </c>
      <c r="W4638">
        <v>3829.72</v>
      </c>
    </row>
    <row r="4639" spans="21:23">
      <c r="U4639" s="693">
        <f t="shared" si="72"/>
        <v>44440</v>
      </c>
      <c r="V4639" s="698">
        <v>44450</v>
      </c>
      <c r="W4639">
        <v>3836.85</v>
      </c>
    </row>
    <row r="4640" spans="21:23">
      <c r="U4640" s="693">
        <f t="shared" si="72"/>
        <v>44440</v>
      </c>
      <c r="V4640" s="698">
        <v>44451</v>
      </c>
      <c r="W4640">
        <v>3836.85</v>
      </c>
    </row>
    <row r="4641" spans="21:23">
      <c r="U4641" s="693">
        <f t="shared" si="72"/>
        <v>44440</v>
      </c>
      <c r="V4641" s="698">
        <v>44452</v>
      </c>
      <c r="W4641">
        <v>3836.85</v>
      </c>
    </row>
    <row r="4642" spans="21:23">
      <c r="U4642" s="693">
        <f t="shared" si="72"/>
        <v>44440</v>
      </c>
      <c r="V4642" s="698">
        <v>44453</v>
      </c>
      <c r="W4642">
        <v>3835.27</v>
      </c>
    </row>
    <row r="4643" spans="21:23">
      <c r="U4643" s="693">
        <f t="shared" si="72"/>
        <v>44440</v>
      </c>
      <c r="V4643" s="698">
        <v>44454</v>
      </c>
      <c r="W4643">
        <v>3830.83</v>
      </c>
    </row>
    <row r="4644" spans="21:23">
      <c r="U4644" s="693">
        <f t="shared" si="72"/>
        <v>44440</v>
      </c>
      <c r="V4644" s="698">
        <v>44455</v>
      </c>
      <c r="W4644">
        <v>3825.36</v>
      </c>
    </row>
    <row r="4645" spans="21:23">
      <c r="U4645" s="693">
        <f t="shared" si="72"/>
        <v>44440</v>
      </c>
      <c r="V4645" s="698">
        <v>44456</v>
      </c>
      <c r="W4645">
        <v>3818.16</v>
      </c>
    </row>
    <row r="4646" spans="21:23">
      <c r="U4646" s="693">
        <f t="shared" si="72"/>
        <v>44440</v>
      </c>
      <c r="V4646" s="698">
        <v>44457</v>
      </c>
      <c r="W4646">
        <v>3828.18</v>
      </c>
    </row>
    <row r="4647" spans="21:23">
      <c r="U4647" s="693">
        <f t="shared" si="72"/>
        <v>44440</v>
      </c>
      <c r="V4647" s="698">
        <v>44458</v>
      </c>
      <c r="W4647">
        <v>3828.18</v>
      </c>
    </row>
    <row r="4648" spans="21:23">
      <c r="U4648" s="693">
        <f t="shared" si="72"/>
        <v>44440</v>
      </c>
      <c r="V4648" s="698">
        <v>44459</v>
      </c>
      <c r="W4648">
        <v>3828.18</v>
      </c>
    </row>
    <row r="4649" spans="21:23">
      <c r="U4649" s="693">
        <f t="shared" si="72"/>
        <v>44440</v>
      </c>
      <c r="V4649" s="698">
        <v>44460</v>
      </c>
      <c r="W4649">
        <v>3851.22</v>
      </c>
    </row>
    <row r="4650" spans="21:23">
      <c r="U4650" s="693">
        <f t="shared" si="72"/>
        <v>44440</v>
      </c>
      <c r="V4650" s="698">
        <v>44461</v>
      </c>
      <c r="W4650">
        <v>3843.77</v>
      </c>
    </row>
    <row r="4651" spans="21:23">
      <c r="U4651" s="693">
        <f t="shared" si="72"/>
        <v>44440</v>
      </c>
      <c r="V4651" s="698">
        <v>44462</v>
      </c>
      <c r="W4651">
        <v>3834.66</v>
      </c>
    </row>
    <row r="4652" spans="21:23">
      <c r="U4652" s="693">
        <f t="shared" si="72"/>
        <v>44440</v>
      </c>
      <c r="V4652" s="698">
        <v>44463</v>
      </c>
      <c r="W4652">
        <v>3835.67</v>
      </c>
    </row>
    <row r="4653" spans="21:23">
      <c r="U4653" s="693">
        <f t="shared" si="72"/>
        <v>44440</v>
      </c>
      <c r="V4653" s="698">
        <v>44464</v>
      </c>
      <c r="W4653">
        <v>3844.88</v>
      </c>
    </row>
    <row r="4654" spans="21:23">
      <c r="U4654" s="693">
        <f t="shared" si="72"/>
        <v>44440</v>
      </c>
      <c r="V4654" s="698">
        <v>44465</v>
      </c>
      <c r="W4654">
        <v>3844.88</v>
      </c>
    </row>
    <row r="4655" spans="21:23">
      <c r="U4655" s="693">
        <f t="shared" si="72"/>
        <v>44440</v>
      </c>
      <c r="V4655" s="698">
        <v>44466</v>
      </c>
      <c r="W4655">
        <v>3844.88</v>
      </c>
    </row>
    <row r="4656" spans="21:23">
      <c r="U4656" s="693">
        <f t="shared" si="72"/>
        <v>44440</v>
      </c>
      <c r="V4656" s="698">
        <v>44467</v>
      </c>
      <c r="W4656">
        <v>3837.91</v>
      </c>
    </row>
    <row r="4657" spans="21:23">
      <c r="U4657" s="693">
        <f t="shared" si="72"/>
        <v>44440</v>
      </c>
      <c r="V4657" s="698">
        <v>44468</v>
      </c>
      <c r="W4657">
        <v>3841.94</v>
      </c>
    </row>
    <row r="4658" spans="21:23">
      <c r="U4658" s="693">
        <f t="shared" si="72"/>
        <v>44440</v>
      </c>
      <c r="V4658" s="698">
        <v>44469</v>
      </c>
      <c r="W4658">
        <v>3834.68</v>
      </c>
    </row>
    <row r="4659" spans="21:23">
      <c r="U4659" s="693">
        <f t="shared" si="72"/>
        <v>44470</v>
      </c>
      <c r="V4659" s="698">
        <v>44470</v>
      </c>
      <c r="W4659">
        <v>3812.77</v>
      </c>
    </row>
    <row r="4660" spans="21:23">
      <c r="U4660" s="693">
        <f t="shared" si="72"/>
        <v>44470</v>
      </c>
      <c r="V4660" s="698">
        <v>44471</v>
      </c>
      <c r="W4660">
        <v>3781.35</v>
      </c>
    </row>
    <row r="4661" spans="21:23">
      <c r="U4661" s="693">
        <f t="shared" si="72"/>
        <v>44470</v>
      </c>
      <c r="V4661" s="698">
        <v>44472</v>
      </c>
      <c r="W4661">
        <v>3781.35</v>
      </c>
    </row>
    <row r="4662" spans="21:23">
      <c r="U4662" s="693">
        <f t="shared" si="72"/>
        <v>44470</v>
      </c>
      <c r="V4662" s="698">
        <v>44473</v>
      </c>
      <c r="W4662">
        <v>3781.35</v>
      </c>
    </row>
    <row r="4663" spans="21:23">
      <c r="U4663" s="693">
        <f t="shared" si="72"/>
        <v>44470</v>
      </c>
      <c r="V4663" s="698">
        <v>44474</v>
      </c>
      <c r="W4663">
        <v>3786.05</v>
      </c>
    </row>
    <row r="4664" spans="21:23">
      <c r="U4664" s="693">
        <f t="shared" si="72"/>
        <v>44470</v>
      </c>
      <c r="V4664" s="698">
        <v>44475</v>
      </c>
      <c r="W4664">
        <v>3796.3</v>
      </c>
    </row>
    <row r="4665" spans="21:23">
      <c r="U4665" s="693">
        <f t="shared" si="72"/>
        <v>44470</v>
      </c>
      <c r="V4665" s="698">
        <v>44476</v>
      </c>
      <c r="W4665">
        <v>3788.03</v>
      </c>
    </row>
    <row r="4666" spans="21:23">
      <c r="U4666" s="693">
        <f t="shared" si="72"/>
        <v>44470</v>
      </c>
      <c r="V4666" s="698">
        <v>44477</v>
      </c>
      <c r="W4666">
        <v>3772.44</v>
      </c>
    </row>
    <row r="4667" spans="21:23">
      <c r="U4667" s="693">
        <f t="shared" si="72"/>
        <v>44470</v>
      </c>
      <c r="V4667" s="698">
        <v>44478</v>
      </c>
      <c r="W4667">
        <v>3765.8</v>
      </c>
    </row>
    <row r="4668" spans="21:23">
      <c r="U4668" s="693">
        <f t="shared" si="72"/>
        <v>44470</v>
      </c>
      <c r="V4668" s="698">
        <v>44479</v>
      </c>
      <c r="W4668">
        <v>3765.8</v>
      </c>
    </row>
    <row r="4669" spans="21:23">
      <c r="U4669" s="693">
        <f t="shared" si="72"/>
        <v>44470</v>
      </c>
      <c r="V4669" s="698">
        <v>44480</v>
      </c>
      <c r="W4669">
        <v>3765.8</v>
      </c>
    </row>
    <row r="4670" spans="21:23">
      <c r="U4670" s="693">
        <f t="shared" si="72"/>
        <v>44470</v>
      </c>
      <c r="V4670" s="698">
        <v>44481</v>
      </c>
      <c r="W4670">
        <v>3765.8</v>
      </c>
    </row>
    <row r="4671" spans="21:23">
      <c r="U4671" s="693">
        <f t="shared" si="72"/>
        <v>44470</v>
      </c>
      <c r="V4671" s="698">
        <v>44482</v>
      </c>
      <c r="W4671">
        <v>3738.48</v>
      </c>
    </row>
    <row r="4672" spans="21:23">
      <c r="U4672" s="693">
        <f t="shared" si="72"/>
        <v>44470</v>
      </c>
      <c r="V4672" s="698">
        <v>44483</v>
      </c>
      <c r="W4672">
        <v>3725.75</v>
      </c>
    </row>
    <row r="4673" spans="21:23">
      <c r="U4673" s="693">
        <f t="shared" si="72"/>
        <v>44470</v>
      </c>
      <c r="V4673" s="698">
        <v>44484</v>
      </c>
      <c r="W4673">
        <v>3755.29</v>
      </c>
    </row>
    <row r="4674" spans="21:23">
      <c r="U4674" s="693">
        <f t="shared" si="72"/>
        <v>44470</v>
      </c>
      <c r="V4674" s="698">
        <v>44485</v>
      </c>
      <c r="W4674">
        <v>3772.49</v>
      </c>
    </row>
    <row r="4675" spans="21:23">
      <c r="U4675" s="693">
        <f t="shared" ref="U4675:U4738" si="73">+DATE(YEAR(V4675),MONTH(V4675),1)</f>
        <v>44470</v>
      </c>
      <c r="V4675" s="698">
        <v>44486</v>
      </c>
      <c r="W4675">
        <v>3772.49</v>
      </c>
    </row>
    <row r="4676" spans="21:23">
      <c r="U4676" s="693">
        <f t="shared" si="73"/>
        <v>44470</v>
      </c>
      <c r="V4676" s="698">
        <v>44487</v>
      </c>
      <c r="W4676">
        <v>3772.49</v>
      </c>
    </row>
    <row r="4677" spans="21:23">
      <c r="U4677" s="693">
        <f t="shared" si="73"/>
        <v>44470</v>
      </c>
      <c r="V4677" s="698">
        <v>44488</v>
      </c>
      <c r="W4677">
        <v>3772.49</v>
      </c>
    </row>
    <row r="4678" spans="21:23">
      <c r="U4678" s="693">
        <f t="shared" si="73"/>
        <v>44470</v>
      </c>
      <c r="V4678" s="698">
        <v>44489</v>
      </c>
      <c r="W4678">
        <v>3766.94</v>
      </c>
    </row>
    <row r="4679" spans="21:23">
      <c r="U4679" s="693">
        <f t="shared" si="73"/>
        <v>44470</v>
      </c>
      <c r="V4679" s="698">
        <v>44490</v>
      </c>
      <c r="W4679">
        <v>3770.58</v>
      </c>
    </row>
    <row r="4680" spans="21:23">
      <c r="U4680" s="693">
        <f t="shared" si="73"/>
        <v>44470</v>
      </c>
      <c r="V4680" s="698">
        <v>44491</v>
      </c>
      <c r="W4680">
        <v>3783.3</v>
      </c>
    </row>
    <row r="4681" spans="21:23">
      <c r="U4681" s="693">
        <f t="shared" si="73"/>
        <v>44470</v>
      </c>
      <c r="V4681" s="698">
        <v>44492</v>
      </c>
      <c r="W4681">
        <v>3780.38</v>
      </c>
    </row>
    <row r="4682" spans="21:23">
      <c r="U4682" s="693">
        <f t="shared" si="73"/>
        <v>44470</v>
      </c>
      <c r="V4682" s="698">
        <v>44493</v>
      </c>
      <c r="W4682">
        <v>3780.38</v>
      </c>
    </row>
    <row r="4683" spans="21:23">
      <c r="U4683" s="693">
        <f t="shared" si="73"/>
        <v>44470</v>
      </c>
      <c r="V4683" s="698">
        <v>44494</v>
      </c>
      <c r="W4683">
        <v>3780.38</v>
      </c>
    </row>
    <row r="4684" spans="21:23">
      <c r="U4684" s="693">
        <f t="shared" si="73"/>
        <v>44470</v>
      </c>
      <c r="V4684" s="698">
        <v>44495</v>
      </c>
      <c r="W4684">
        <v>3769.98</v>
      </c>
    </row>
    <row r="4685" spans="21:23">
      <c r="U4685" s="693">
        <f t="shared" si="73"/>
        <v>44470</v>
      </c>
      <c r="V4685" s="698">
        <v>44496</v>
      </c>
      <c r="W4685">
        <v>3774.46</v>
      </c>
    </row>
    <row r="4686" spans="21:23">
      <c r="U4686" s="693">
        <f t="shared" si="73"/>
        <v>44470</v>
      </c>
      <c r="V4686" s="698">
        <v>44497</v>
      </c>
      <c r="W4686">
        <v>3761.21</v>
      </c>
    </row>
    <row r="4687" spans="21:23">
      <c r="U4687" s="693">
        <f t="shared" si="73"/>
        <v>44470</v>
      </c>
      <c r="V4687" s="698">
        <v>44498</v>
      </c>
      <c r="W4687">
        <v>3766.1</v>
      </c>
    </row>
    <row r="4688" spans="21:23">
      <c r="U4688" s="693">
        <f t="shared" si="73"/>
        <v>44470</v>
      </c>
      <c r="V4688" s="698">
        <v>44499</v>
      </c>
      <c r="W4688">
        <v>3784.44</v>
      </c>
    </row>
    <row r="4689" spans="21:23">
      <c r="U4689" s="693">
        <f t="shared" si="73"/>
        <v>44470</v>
      </c>
      <c r="V4689" s="698">
        <v>44500</v>
      </c>
      <c r="W4689">
        <v>3784.44</v>
      </c>
    </row>
    <row r="4690" spans="21:23">
      <c r="U4690" s="693">
        <f t="shared" si="73"/>
        <v>44501</v>
      </c>
      <c r="V4690" s="698">
        <v>44501</v>
      </c>
      <c r="W4690">
        <v>3784.44</v>
      </c>
    </row>
    <row r="4691" spans="21:23">
      <c r="U4691" s="693">
        <f t="shared" si="73"/>
        <v>44501</v>
      </c>
      <c r="V4691" s="698">
        <v>44502</v>
      </c>
      <c r="W4691">
        <v>3784.44</v>
      </c>
    </row>
    <row r="4692" spans="21:23">
      <c r="U4692" s="693">
        <f t="shared" si="73"/>
        <v>44501</v>
      </c>
      <c r="V4692" s="698">
        <v>44503</v>
      </c>
      <c r="W4692">
        <v>3778.69</v>
      </c>
    </row>
    <row r="4693" spans="21:23">
      <c r="U4693" s="693">
        <f t="shared" si="73"/>
        <v>44501</v>
      </c>
      <c r="V4693" s="698">
        <v>44504</v>
      </c>
      <c r="W4693">
        <v>3837.84</v>
      </c>
    </row>
    <row r="4694" spans="21:23">
      <c r="U4694" s="693">
        <f t="shared" si="73"/>
        <v>44501</v>
      </c>
      <c r="V4694" s="698">
        <v>44505</v>
      </c>
      <c r="W4694">
        <v>3847.4</v>
      </c>
    </row>
    <row r="4695" spans="21:23">
      <c r="U4695" s="693">
        <f t="shared" si="73"/>
        <v>44501</v>
      </c>
      <c r="V4695" s="698">
        <v>44506</v>
      </c>
      <c r="W4695">
        <v>3881.76</v>
      </c>
    </row>
    <row r="4696" spans="21:23">
      <c r="U4696" s="693">
        <f t="shared" si="73"/>
        <v>44501</v>
      </c>
      <c r="V4696" s="698">
        <v>44507</v>
      </c>
      <c r="W4696">
        <v>3881.76</v>
      </c>
    </row>
    <row r="4697" spans="21:23">
      <c r="U4697" s="693">
        <f t="shared" si="73"/>
        <v>44501</v>
      </c>
      <c r="V4697" s="698">
        <v>44508</v>
      </c>
      <c r="W4697">
        <v>3881.76</v>
      </c>
    </row>
    <row r="4698" spans="21:23">
      <c r="U4698" s="693">
        <f t="shared" si="73"/>
        <v>44501</v>
      </c>
      <c r="V4698" s="698">
        <v>44509</v>
      </c>
      <c r="W4698">
        <v>3874.41</v>
      </c>
    </row>
    <row r="4699" spans="21:23">
      <c r="U4699" s="693">
        <f t="shared" si="73"/>
        <v>44501</v>
      </c>
      <c r="V4699" s="698">
        <v>44510</v>
      </c>
      <c r="W4699">
        <v>3876.86</v>
      </c>
    </row>
    <row r="4700" spans="21:23">
      <c r="U4700" s="693">
        <f t="shared" si="73"/>
        <v>44501</v>
      </c>
      <c r="V4700" s="698">
        <v>44511</v>
      </c>
      <c r="W4700">
        <v>3875.38</v>
      </c>
    </row>
    <row r="4701" spans="21:23">
      <c r="U4701" s="693">
        <f t="shared" si="73"/>
        <v>44501</v>
      </c>
      <c r="V4701" s="698">
        <v>44512</v>
      </c>
      <c r="W4701">
        <v>3875.38</v>
      </c>
    </row>
    <row r="4702" spans="21:23">
      <c r="U4702" s="693">
        <f t="shared" si="73"/>
        <v>44501</v>
      </c>
      <c r="V4702" s="698">
        <v>44513</v>
      </c>
      <c r="W4702">
        <v>3888.53</v>
      </c>
    </row>
    <row r="4703" spans="21:23">
      <c r="U4703" s="693">
        <f t="shared" si="73"/>
        <v>44501</v>
      </c>
      <c r="V4703" s="698">
        <v>44514</v>
      </c>
      <c r="W4703">
        <v>3888.53</v>
      </c>
    </row>
    <row r="4704" spans="21:23">
      <c r="U4704" s="693">
        <f t="shared" si="73"/>
        <v>44501</v>
      </c>
      <c r="V4704" s="698">
        <v>44515</v>
      </c>
      <c r="W4704">
        <v>3888.53</v>
      </c>
    </row>
    <row r="4705" spans="21:23">
      <c r="U4705" s="693">
        <f t="shared" si="73"/>
        <v>44501</v>
      </c>
      <c r="V4705" s="698">
        <v>44516</v>
      </c>
      <c r="W4705">
        <v>3888.53</v>
      </c>
    </row>
    <row r="4706" spans="21:23">
      <c r="U4706" s="693">
        <f t="shared" si="73"/>
        <v>44501</v>
      </c>
      <c r="V4706" s="698">
        <v>44517</v>
      </c>
      <c r="W4706">
        <v>3898.84</v>
      </c>
    </row>
    <row r="4707" spans="21:23">
      <c r="U4707" s="693">
        <f t="shared" si="73"/>
        <v>44501</v>
      </c>
      <c r="V4707" s="698">
        <v>44518</v>
      </c>
      <c r="W4707">
        <v>3907.95</v>
      </c>
    </row>
    <row r="4708" spans="21:23">
      <c r="U4708" s="693">
        <f t="shared" si="73"/>
        <v>44501</v>
      </c>
      <c r="V4708" s="698">
        <v>44519</v>
      </c>
      <c r="W4708">
        <v>3943.43</v>
      </c>
    </row>
    <row r="4709" spans="21:23">
      <c r="U4709" s="693">
        <f t="shared" si="73"/>
        <v>44501</v>
      </c>
      <c r="V4709" s="698">
        <v>44520</v>
      </c>
      <c r="W4709">
        <v>3923.53</v>
      </c>
    </row>
    <row r="4710" spans="21:23">
      <c r="U4710" s="693">
        <f t="shared" si="73"/>
        <v>44501</v>
      </c>
      <c r="V4710" s="698">
        <v>44521</v>
      </c>
      <c r="W4710">
        <v>3923.53</v>
      </c>
    </row>
    <row r="4711" spans="21:23">
      <c r="U4711" s="693">
        <f t="shared" si="73"/>
        <v>44501</v>
      </c>
      <c r="V4711" s="698">
        <v>44522</v>
      </c>
      <c r="W4711">
        <v>3923.53</v>
      </c>
    </row>
    <row r="4712" spans="21:23">
      <c r="U4712" s="693">
        <f t="shared" si="73"/>
        <v>44501</v>
      </c>
      <c r="V4712" s="698">
        <v>44523</v>
      </c>
      <c r="W4712">
        <v>3913.26</v>
      </c>
    </row>
    <row r="4713" spans="21:23">
      <c r="U4713" s="693">
        <f t="shared" si="73"/>
        <v>44501</v>
      </c>
      <c r="V4713" s="698">
        <v>44524</v>
      </c>
      <c r="W4713">
        <v>3944.37</v>
      </c>
    </row>
    <row r="4714" spans="21:23">
      <c r="U4714" s="693">
        <f t="shared" si="73"/>
        <v>44501</v>
      </c>
      <c r="V4714" s="698">
        <v>44525</v>
      </c>
      <c r="W4714">
        <v>3969.49</v>
      </c>
    </row>
    <row r="4715" spans="21:23">
      <c r="U4715" s="693">
        <f t="shared" si="73"/>
        <v>44501</v>
      </c>
      <c r="V4715" s="698">
        <v>44526</v>
      </c>
      <c r="W4715">
        <v>3969.49</v>
      </c>
    </row>
    <row r="4716" spans="21:23">
      <c r="U4716" s="693">
        <f t="shared" si="73"/>
        <v>44501</v>
      </c>
      <c r="V4716" s="698">
        <v>44527</v>
      </c>
      <c r="W4716">
        <v>4008.13</v>
      </c>
    </row>
    <row r="4717" spans="21:23">
      <c r="U4717" s="693">
        <f t="shared" si="73"/>
        <v>44501</v>
      </c>
      <c r="V4717" s="698">
        <v>44528</v>
      </c>
      <c r="W4717">
        <v>4008.13</v>
      </c>
    </row>
    <row r="4718" spans="21:23">
      <c r="U4718" s="693">
        <f t="shared" si="73"/>
        <v>44501</v>
      </c>
      <c r="V4718" s="698">
        <v>44529</v>
      </c>
      <c r="W4718">
        <v>4008.13</v>
      </c>
    </row>
    <row r="4719" spans="21:23">
      <c r="U4719" s="693">
        <f t="shared" si="73"/>
        <v>44501</v>
      </c>
      <c r="V4719" s="698">
        <v>44530</v>
      </c>
      <c r="W4719">
        <v>4010.98</v>
      </c>
    </row>
    <row r="4720" spans="21:23">
      <c r="U4720" s="693">
        <f t="shared" si="73"/>
        <v>44531</v>
      </c>
      <c r="V4720" s="698">
        <v>44531</v>
      </c>
      <c r="W4720">
        <v>4004.54</v>
      </c>
    </row>
    <row r="4721" spans="21:23">
      <c r="U4721" s="693">
        <f t="shared" si="73"/>
        <v>44531</v>
      </c>
      <c r="V4721" s="698">
        <v>44532</v>
      </c>
      <c r="W4721">
        <v>3953.26</v>
      </c>
    </row>
    <row r="4722" spans="21:23">
      <c r="U4722" s="693">
        <f t="shared" si="73"/>
        <v>44531</v>
      </c>
      <c r="V4722" s="698">
        <v>44533</v>
      </c>
      <c r="W4722">
        <v>3945.18</v>
      </c>
    </row>
    <row r="4723" spans="21:23">
      <c r="U4723" s="693">
        <f t="shared" si="73"/>
        <v>44531</v>
      </c>
      <c r="V4723" s="698">
        <v>44534</v>
      </c>
      <c r="W4723">
        <v>3948.33</v>
      </c>
    </row>
    <row r="4724" spans="21:23">
      <c r="U4724" s="693">
        <f t="shared" si="73"/>
        <v>44531</v>
      </c>
      <c r="V4724" s="698">
        <v>44535</v>
      </c>
      <c r="W4724">
        <v>3948.33</v>
      </c>
    </row>
    <row r="4725" spans="21:23">
      <c r="U4725" s="693">
        <f t="shared" si="73"/>
        <v>44531</v>
      </c>
      <c r="V4725" s="698">
        <v>44536</v>
      </c>
      <c r="W4725">
        <v>3948.33</v>
      </c>
    </row>
    <row r="4726" spans="21:23">
      <c r="U4726" s="693">
        <f t="shared" si="73"/>
        <v>44531</v>
      </c>
      <c r="V4726" s="698">
        <v>44537</v>
      </c>
      <c r="W4726">
        <v>3944</v>
      </c>
    </row>
    <row r="4727" spans="21:23">
      <c r="U4727" s="693">
        <f t="shared" si="73"/>
        <v>44531</v>
      </c>
      <c r="V4727" s="698">
        <v>44538</v>
      </c>
      <c r="W4727">
        <v>3906.1</v>
      </c>
    </row>
    <row r="4728" spans="21:23">
      <c r="U4728" s="693">
        <f t="shared" si="73"/>
        <v>44531</v>
      </c>
      <c r="V4728" s="698">
        <v>44539</v>
      </c>
      <c r="W4728">
        <v>3906.1</v>
      </c>
    </row>
    <row r="4729" spans="21:23">
      <c r="U4729" s="693">
        <f t="shared" si="73"/>
        <v>44531</v>
      </c>
      <c r="V4729" s="698">
        <v>44540</v>
      </c>
      <c r="W4729">
        <v>3899.87</v>
      </c>
    </row>
    <row r="4730" spans="21:23">
      <c r="U4730" s="693">
        <f t="shared" si="73"/>
        <v>44531</v>
      </c>
      <c r="V4730" s="698">
        <v>44541</v>
      </c>
      <c r="W4730">
        <v>3887.71</v>
      </c>
    </row>
    <row r="4731" spans="21:23">
      <c r="U4731" s="693">
        <f t="shared" si="73"/>
        <v>44531</v>
      </c>
      <c r="V4731" s="698">
        <v>44542</v>
      </c>
      <c r="W4731">
        <v>3887.71</v>
      </c>
    </row>
    <row r="4732" spans="21:23">
      <c r="U4732" s="693">
        <f t="shared" si="73"/>
        <v>44531</v>
      </c>
      <c r="V4732" s="698">
        <v>44543</v>
      </c>
      <c r="W4732">
        <v>3887.71</v>
      </c>
    </row>
    <row r="4733" spans="21:23">
      <c r="U4733" s="693">
        <f t="shared" si="73"/>
        <v>44531</v>
      </c>
      <c r="V4733" s="698">
        <v>44544</v>
      </c>
      <c r="W4733">
        <v>3886.87</v>
      </c>
    </row>
    <row r="4734" spans="21:23">
      <c r="U4734" s="693">
        <f t="shared" si="73"/>
        <v>44531</v>
      </c>
      <c r="V4734" s="698">
        <v>44545</v>
      </c>
      <c r="W4734">
        <v>3936.41</v>
      </c>
    </row>
    <row r="4735" spans="21:23">
      <c r="U4735" s="693">
        <f t="shared" si="73"/>
        <v>44531</v>
      </c>
      <c r="V4735" s="698">
        <v>44546</v>
      </c>
      <c r="W4735">
        <v>3990.27</v>
      </c>
    </row>
    <row r="4736" spans="21:23">
      <c r="U4736" s="693">
        <f t="shared" si="73"/>
        <v>44531</v>
      </c>
      <c r="V4736" s="698">
        <v>44547</v>
      </c>
      <c r="W4736">
        <v>4002.97</v>
      </c>
    </row>
    <row r="4737" spans="21:23">
      <c r="U4737" s="693">
        <f t="shared" si="73"/>
        <v>44531</v>
      </c>
      <c r="V4737" s="698">
        <v>44548</v>
      </c>
      <c r="W4737">
        <v>3999.85</v>
      </c>
    </row>
    <row r="4738" spans="21:23">
      <c r="U4738" s="693">
        <f t="shared" si="73"/>
        <v>44531</v>
      </c>
      <c r="V4738" s="698">
        <v>44549</v>
      </c>
      <c r="W4738">
        <v>3999.85</v>
      </c>
    </row>
    <row r="4739" spans="21:23">
      <c r="U4739" s="693">
        <f t="shared" ref="U4739:U4802" si="74">+DATE(YEAR(V4739),MONTH(V4739),1)</f>
        <v>44531</v>
      </c>
      <c r="V4739" s="698">
        <v>44550</v>
      </c>
      <c r="W4739">
        <v>3999.85</v>
      </c>
    </row>
    <row r="4740" spans="21:23">
      <c r="U4740" s="693">
        <f t="shared" si="74"/>
        <v>44531</v>
      </c>
      <c r="V4740" s="698">
        <v>44551</v>
      </c>
      <c r="W4740">
        <v>4002.12</v>
      </c>
    </row>
    <row r="4741" spans="21:23">
      <c r="U4741" s="693">
        <f t="shared" si="74"/>
        <v>44531</v>
      </c>
      <c r="V4741" s="698">
        <v>44552</v>
      </c>
      <c r="W4741">
        <v>3996.28</v>
      </c>
    </row>
    <row r="4742" spans="21:23">
      <c r="U4742" s="693">
        <f t="shared" si="74"/>
        <v>44531</v>
      </c>
      <c r="V4742" s="698">
        <v>44553</v>
      </c>
      <c r="W4742">
        <v>3997.71</v>
      </c>
    </row>
    <row r="4743" spans="21:23">
      <c r="U4743" s="693">
        <f t="shared" si="74"/>
        <v>44531</v>
      </c>
      <c r="V4743" s="698">
        <v>44554</v>
      </c>
      <c r="W4743">
        <v>3997.09</v>
      </c>
    </row>
    <row r="4744" spans="21:23">
      <c r="U4744" s="693">
        <f t="shared" si="74"/>
        <v>44531</v>
      </c>
      <c r="V4744" s="698">
        <v>44555</v>
      </c>
      <c r="W4744">
        <v>3994.15</v>
      </c>
    </row>
    <row r="4745" spans="21:23">
      <c r="U4745" s="693">
        <f t="shared" si="74"/>
        <v>44531</v>
      </c>
      <c r="V4745" s="698">
        <v>44556</v>
      </c>
      <c r="W4745">
        <v>3994.15</v>
      </c>
    </row>
    <row r="4746" spans="21:23">
      <c r="U4746" s="693">
        <f t="shared" si="74"/>
        <v>44531</v>
      </c>
      <c r="V4746" s="698">
        <v>44557</v>
      </c>
      <c r="W4746">
        <v>3994.15</v>
      </c>
    </row>
    <row r="4747" spans="21:23">
      <c r="U4747" s="693">
        <f t="shared" si="74"/>
        <v>44531</v>
      </c>
      <c r="V4747" s="698">
        <v>44558</v>
      </c>
      <c r="W4747">
        <v>3989.41</v>
      </c>
    </row>
    <row r="4748" spans="21:23">
      <c r="U4748" s="693">
        <f t="shared" si="74"/>
        <v>44531</v>
      </c>
      <c r="V4748" s="698">
        <v>44559</v>
      </c>
      <c r="W4748">
        <v>4004</v>
      </c>
    </row>
    <row r="4749" spans="21:23">
      <c r="U4749" s="693">
        <f t="shared" si="74"/>
        <v>44531</v>
      </c>
      <c r="V4749" s="698">
        <v>44560</v>
      </c>
      <c r="W4749">
        <v>4023.68</v>
      </c>
    </row>
    <row r="4750" spans="21:23">
      <c r="U4750" s="693">
        <f t="shared" si="74"/>
        <v>44531</v>
      </c>
      <c r="V4750" s="698">
        <v>44561</v>
      </c>
      <c r="W4750">
        <v>3981.16</v>
      </c>
    </row>
    <row r="4751" spans="21:23">
      <c r="U4751" s="693">
        <f t="shared" si="74"/>
        <v>44562</v>
      </c>
      <c r="V4751" s="698">
        <v>44562</v>
      </c>
      <c r="W4751">
        <v>3981.16</v>
      </c>
    </row>
    <row r="4752" spans="21:23">
      <c r="U4752" s="693">
        <f t="shared" si="74"/>
        <v>44562</v>
      </c>
      <c r="V4752" s="698">
        <v>44563</v>
      </c>
      <c r="W4752">
        <v>3981.16</v>
      </c>
    </row>
    <row r="4753" spans="21:23">
      <c r="U4753" s="693">
        <f t="shared" si="74"/>
        <v>44562</v>
      </c>
      <c r="V4753" s="698">
        <v>44564</v>
      </c>
      <c r="W4753">
        <v>3981.16</v>
      </c>
    </row>
    <row r="4754" spans="21:23">
      <c r="U4754" s="693">
        <f t="shared" si="74"/>
        <v>44562</v>
      </c>
      <c r="V4754" s="698">
        <v>44565</v>
      </c>
      <c r="W4754">
        <v>4082.75</v>
      </c>
    </row>
    <row r="4755" spans="21:23">
      <c r="U4755" s="693">
        <f t="shared" si="74"/>
        <v>44562</v>
      </c>
      <c r="V4755" s="698">
        <v>44566</v>
      </c>
      <c r="W4755">
        <v>4084.11</v>
      </c>
    </row>
    <row r="4756" spans="21:23">
      <c r="U4756" s="693">
        <f t="shared" si="74"/>
        <v>44562</v>
      </c>
      <c r="V4756" s="698">
        <v>44567</v>
      </c>
      <c r="W4756">
        <v>4042.36</v>
      </c>
    </row>
    <row r="4757" spans="21:23">
      <c r="U4757" s="693">
        <f t="shared" si="74"/>
        <v>44562</v>
      </c>
      <c r="V4757" s="698">
        <v>44568</v>
      </c>
      <c r="W4757">
        <v>4039.31</v>
      </c>
    </row>
    <row r="4758" spans="21:23">
      <c r="U4758" s="693">
        <f t="shared" si="74"/>
        <v>44562</v>
      </c>
      <c r="V4758" s="698">
        <v>44569</v>
      </c>
      <c r="W4758">
        <v>4043.46</v>
      </c>
    </row>
    <row r="4759" spans="21:23">
      <c r="U4759" s="693">
        <f t="shared" si="74"/>
        <v>44562</v>
      </c>
      <c r="V4759" s="698">
        <v>44570</v>
      </c>
      <c r="W4759">
        <v>4043.46</v>
      </c>
    </row>
    <row r="4760" spans="21:23">
      <c r="U4760" s="693">
        <f t="shared" si="74"/>
        <v>44562</v>
      </c>
      <c r="V4760" s="698">
        <v>44571</v>
      </c>
      <c r="W4760">
        <v>4043.46</v>
      </c>
    </row>
    <row r="4761" spans="21:23">
      <c r="U4761" s="693">
        <f t="shared" si="74"/>
        <v>44562</v>
      </c>
      <c r="V4761" s="698">
        <v>44572</v>
      </c>
      <c r="W4761">
        <v>4043.46</v>
      </c>
    </row>
    <row r="4762" spans="21:23">
      <c r="U4762" s="693">
        <f t="shared" si="74"/>
        <v>44562</v>
      </c>
      <c r="V4762" s="698">
        <v>44573</v>
      </c>
      <c r="W4762">
        <v>4011.65</v>
      </c>
    </row>
    <row r="4763" spans="21:23">
      <c r="U4763" s="693">
        <f t="shared" si="74"/>
        <v>44562</v>
      </c>
      <c r="V4763" s="698">
        <v>44574</v>
      </c>
      <c r="W4763">
        <v>3970.08</v>
      </c>
    </row>
    <row r="4764" spans="21:23">
      <c r="U4764" s="693">
        <f t="shared" si="74"/>
        <v>44562</v>
      </c>
      <c r="V4764" s="698">
        <v>44575</v>
      </c>
      <c r="W4764">
        <v>3950.4</v>
      </c>
    </row>
    <row r="4765" spans="21:23">
      <c r="U4765" s="693">
        <f t="shared" si="74"/>
        <v>44562</v>
      </c>
      <c r="V4765" s="698">
        <v>44576</v>
      </c>
      <c r="W4765">
        <v>3993.65</v>
      </c>
    </row>
    <row r="4766" spans="21:23">
      <c r="U4766" s="693">
        <f t="shared" si="74"/>
        <v>44562</v>
      </c>
      <c r="V4766" s="698">
        <v>44577</v>
      </c>
      <c r="W4766">
        <v>3993.65</v>
      </c>
    </row>
    <row r="4767" spans="21:23">
      <c r="U4767" s="693">
        <f t="shared" si="74"/>
        <v>44562</v>
      </c>
      <c r="V4767" s="698">
        <v>44578</v>
      </c>
      <c r="W4767">
        <v>3993.65</v>
      </c>
    </row>
    <row r="4768" spans="21:23">
      <c r="U4768" s="693">
        <f t="shared" si="74"/>
        <v>44562</v>
      </c>
      <c r="V4768" s="698">
        <v>44579</v>
      </c>
      <c r="W4768">
        <v>3993.65</v>
      </c>
    </row>
    <row r="4769" spans="21:23">
      <c r="U4769" s="693">
        <f t="shared" si="74"/>
        <v>44562</v>
      </c>
      <c r="V4769" s="698">
        <v>44580</v>
      </c>
      <c r="W4769">
        <v>4033.37</v>
      </c>
    </row>
    <row r="4770" spans="21:23">
      <c r="U4770" s="693">
        <f t="shared" si="74"/>
        <v>44562</v>
      </c>
      <c r="V4770" s="698">
        <v>44581</v>
      </c>
      <c r="W4770">
        <v>4003.95</v>
      </c>
    </row>
    <row r="4771" spans="21:23">
      <c r="U4771" s="693">
        <f t="shared" si="74"/>
        <v>44562</v>
      </c>
      <c r="V4771" s="698">
        <v>44582</v>
      </c>
      <c r="W4771">
        <v>3980.8</v>
      </c>
    </row>
    <row r="4772" spans="21:23">
      <c r="U4772" s="693">
        <f t="shared" si="74"/>
        <v>44562</v>
      </c>
      <c r="V4772" s="698">
        <v>44583</v>
      </c>
      <c r="W4772">
        <v>3964.3</v>
      </c>
    </row>
    <row r="4773" spans="21:23">
      <c r="U4773" s="693">
        <f t="shared" si="74"/>
        <v>44562</v>
      </c>
      <c r="V4773" s="698">
        <v>44584</v>
      </c>
      <c r="W4773">
        <v>3964.3</v>
      </c>
    </row>
    <row r="4774" spans="21:23">
      <c r="U4774" s="693">
        <f t="shared" si="74"/>
        <v>44562</v>
      </c>
      <c r="V4774" s="698">
        <v>44585</v>
      </c>
      <c r="W4774">
        <v>3964.3</v>
      </c>
    </row>
    <row r="4775" spans="21:23">
      <c r="U4775" s="693">
        <f t="shared" si="74"/>
        <v>44562</v>
      </c>
      <c r="V4775" s="698">
        <v>44586</v>
      </c>
      <c r="W4775">
        <v>3977.51</v>
      </c>
    </row>
    <row r="4776" spans="21:23">
      <c r="U4776" s="693">
        <f t="shared" si="74"/>
        <v>44562</v>
      </c>
      <c r="V4776" s="698">
        <v>44587</v>
      </c>
      <c r="W4776">
        <v>3987.32</v>
      </c>
    </row>
    <row r="4777" spans="21:23">
      <c r="U4777" s="693">
        <f t="shared" si="74"/>
        <v>44562</v>
      </c>
      <c r="V4777" s="698">
        <v>44588</v>
      </c>
      <c r="W4777">
        <v>3947.83</v>
      </c>
    </row>
    <row r="4778" spans="21:23">
      <c r="U4778" s="693">
        <f t="shared" si="74"/>
        <v>44562</v>
      </c>
      <c r="V4778" s="698">
        <v>44589</v>
      </c>
      <c r="W4778">
        <v>3944.04</v>
      </c>
    </row>
    <row r="4779" spans="21:23">
      <c r="U4779" s="693">
        <f t="shared" si="74"/>
        <v>44562</v>
      </c>
      <c r="V4779" s="698">
        <v>44590</v>
      </c>
      <c r="W4779">
        <v>3982.6</v>
      </c>
    </row>
    <row r="4780" spans="21:23">
      <c r="U4780" s="693">
        <f t="shared" si="74"/>
        <v>44562</v>
      </c>
      <c r="V4780" s="698">
        <v>44591</v>
      </c>
      <c r="W4780">
        <v>3982.6</v>
      </c>
    </row>
    <row r="4781" spans="21:23">
      <c r="U4781" s="693">
        <f t="shared" si="74"/>
        <v>44562</v>
      </c>
      <c r="V4781" s="698">
        <v>44592</v>
      </c>
      <c r="W4781">
        <v>3982.6</v>
      </c>
    </row>
    <row r="4782" spans="21:23">
      <c r="U4782" s="693">
        <f t="shared" si="74"/>
        <v>44593</v>
      </c>
      <c r="V4782" s="698">
        <v>44593</v>
      </c>
      <c r="W4782">
        <v>3942.73</v>
      </c>
    </row>
    <row r="4783" spans="21:23">
      <c r="U4783" s="693">
        <f t="shared" si="74"/>
        <v>44593</v>
      </c>
      <c r="V4783" s="698">
        <v>44594</v>
      </c>
      <c r="W4783">
        <v>3923.61</v>
      </c>
    </row>
    <row r="4784" spans="21:23">
      <c r="U4784" s="693">
        <f t="shared" si="74"/>
        <v>44593</v>
      </c>
      <c r="V4784" s="698">
        <v>44595</v>
      </c>
      <c r="W4784">
        <v>3928.05</v>
      </c>
    </row>
    <row r="4785" spans="21:23">
      <c r="U4785" s="693">
        <f t="shared" si="74"/>
        <v>44593</v>
      </c>
      <c r="V4785" s="698">
        <v>44596</v>
      </c>
      <c r="W4785">
        <v>3951.96</v>
      </c>
    </row>
    <row r="4786" spans="21:23">
      <c r="U4786" s="693">
        <f t="shared" si="74"/>
        <v>44593</v>
      </c>
      <c r="V4786" s="698">
        <v>44597</v>
      </c>
      <c r="W4786">
        <v>3962.68</v>
      </c>
    </row>
    <row r="4787" spans="21:23">
      <c r="U4787" s="693">
        <f t="shared" si="74"/>
        <v>44593</v>
      </c>
      <c r="V4787" s="698">
        <v>44598</v>
      </c>
      <c r="W4787">
        <v>3962.68</v>
      </c>
    </row>
    <row r="4788" spans="21:23">
      <c r="U4788" s="693">
        <f t="shared" si="74"/>
        <v>44593</v>
      </c>
      <c r="V4788" s="698">
        <v>44599</v>
      </c>
      <c r="W4788">
        <v>3962.68</v>
      </c>
    </row>
    <row r="4789" spans="21:23">
      <c r="U4789" s="693">
        <f t="shared" si="74"/>
        <v>44593</v>
      </c>
      <c r="V4789" s="698">
        <v>44600</v>
      </c>
      <c r="W4789">
        <v>3963.84</v>
      </c>
    </row>
    <row r="4790" spans="21:23">
      <c r="U4790" s="693">
        <f t="shared" si="74"/>
        <v>44593</v>
      </c>
      <c r="V4790" s="698">
        <v>44601</v>
      </c>
      <c r="W4790">
        <v>3965.41</v>
      </c>
    </row>
    <row r="4791" spans="21:23">
      <c r="U4791" s="693">
        <f t="shared" si="74"/>
        <v>44593</v>
      </c>
      <c r="V4791" s="698">
        <v>44602</v>
      </c>
      <c r="W4791">
        <v>3939.31</v>
      </c>
    </row>
    <row r="4792" spans="21:23">
      <c r="U4792" s="693">
        <f t="shared" si="74"/>
        <v>44593</v>
      </c>
      <c r="V4792" s="698">
        <v>44603</v>
      </c>
      <c r="W4792">
        <v>3917.75</v>
      </c>
    </row>
    <row r="4793" spans="21:23">
      <c r="U4793" s="693">
        <f t="shared" si="74"/>
        <v>44593</v>
      </c>
      <c r="V4793" s="698">
        <v>44604</v>
      </c>
      <c r="W4793">
        <v>3917.52</v>
      </c>
    </row>
    <row r="4794" spans="21:23">
      <c r="U4794" s="693">
        <f t="shared" si="74"/>
        <v>44593</v>
      </c>
      <c r="V4794" s="698">
        <v>44605</v>
      </c>
      <c r="W4794">
        <v>3917.52</v>
      </c>
    </row>
    <row r="4795" spans="21:23">
      <c r="U4795" s="693">
        <f t="shared" si="74"/>
        <v>44593</v>
      </c>
      <c r="V4795" s="698">
        <v>44606</v>
      </c>
      <c r="W4795">
        <v>3917.52</v>
      </c>
    </row>
    <row r="4796" spans="21:23">
      <c r="U4796" s="693">
        <f t="shared" si="74"/>
        <v>44593</v>
      </c>
      <c r="V4796" s="698">
        <v>44607</v>
      </c>
      <c r="W4796">
        <v>3938.97</v>
      </c>
    </row>
    <row r="4797" spans="21:23">
      <c r="U4797" s="693">
        <f t="shared" si="74"/>
        <v>44593</v>
      </c>
      <c r="V4797" s="698">
        <v>44608</v>
      </c>
      <c r="W4797">
        <v>3946.88</v>
      </c>
    </row>
    <row r="4798" spans="21:23">
      <c r="U4798" s="693">
        <f t="shared" si="74"/>
        <v>44593</v>
      </c>
      <c r="V4798" s="698">
        <v>44609</v>
      </c>
      <c r="W4798">
        <v>3963.72</v>
      </c>
    </row>
    <row r="4799" spans="21:23">
      <c r="U4799" s="693">
        <f t="shared" si="74"/>
        <v>44593</v>
      </c>
      <c r="V4799" s="698">
        <v>44610</v>
      </c>
      <c r="W4799">
        <v>3953.26</v>
      </c>
    </row>
    <row r="4800" spans="21:23">
      <c r="U4800" s="693">
        <f t="shared" si="74"/>
        <v>44593</v>
      </c>
      <c r="V4800" s="698">
        <v>44611</v>
      </c>
      <c r="W4800">
        <v>3927.25</v>
      </c>
    </row>
    <row r="4801" spans="21:23">
      <c r="U4801" s="693">
        <f t="shared" si="74"/>
        <v>44593</v>
      </c>
      <c r="V4801" s="698">
        <v>44612</v>
      </c>
      <c r="W4801">
        <v>3927.25</v>
      </c>
    </row>
    <row r="4802" spans="21:23">
      <c r="U4802" s="693">
        <f t="shared" si="74"/>
        <v>44593</v>
      </c>
      <c r="V4802" s="698">
        <v>44613</v>
      </c>
      <c r="W4802">
        <v>3927.25</v>
      </c>
    </row>
    <row r="4803" spans="21:23">
      <c r="U4803" s="693">
        <f t="shared" ref="U4803:U4866" si="75">+DATE(YEAR(V4803),MONTH(V4803),1)</f>
        <v>44593</v>
      </c>
      <c r="V4803" s="698">
        <v>44614</v>
      </c>
      <c r="W4803">
        <v>3927.25</v>
      </c>
    </row>
    <row r="4804" spans="21:23">
      <c r="U4804" s="693">
        <f t="shared" si="75"/>
        <v>44593</v>
      </c>
      <c r="V4804" s="698">
        <v>44615</v>
      </c>
      <c r="W4804">
        <v>3932.4</v>
      </c>
    </row>
    <row r="4805" spans="21:23">
      <c r="U4805" s="693">
        <f t="shared" si="75"/>
        <v>44593</v>
      </c>
      <c r="V4805" s="698">
        <v>44616</v>
      </c>
      <c r="W4805">
        <v>3913.79</v>
      </c>
    </row>
    <row r="4806" spans="21:23">
      <c r="U4806" s="693">
        <f t="shared" si="75"/>
        <v>44593</v>
      </c>
      <c r="V4806" s="698">
        <v>44617</v>
      </c>
      <c r="W4806">
        <v>3940.2</v>
      </c>
    </row>
    <row r="4807" spans="21:23">
      <c r="U4807" s="693">
        <f t="shared" si="75"/>
        <v>44593</v>
      </c>
      <c r="V4807" s="698">
        <v>44618</v>
      </c>
      <c r="W4807">
        <v>3910.64</v>
      </c>
    </row>
    <row r="4808" spans="21:23">
      <c r="U4808" s="693">
        <f t="shared" si="75"/>
        <v>44593</v>
      </c>
      <c r="V4808" s="698">
        <v>44619</v>
      </c>
      <c r="W4808">
        <v>3910.64</v>
      </c>
    </row>
    <row r="4809" spans="21:23">
      <c r="U4809" s="693">
        <f t="shared" si="75"/>
        <v>44593</v>
      </c>
      <c r="V4809" s="698">
        <v>44620</v>
      </c>
      <c r="W4809">
        <v>3910.64</v>
      </c>
    </row>
    <row r="4810" spans="21:23">
      <c r="U4810" s="693">
        <f t="shared" si="75"/>
        <v>44621</v>
      </c>
      <c r="V4810" s="698">
        <v>44621</v>
      </c>
      <c r="W4810">
        <v>3910.28</v>
      </c>
    </row>
    <row r="4811" spans="21:23">
      <c r="U4811" s="693">
        <f t="shared" si="75"/>
        <v>44621</v>
      </c>
      <c r="V4811" s="698">
        <v>44622</v>
      </c>
      <c r="W4811">
        <v>3901.62</v>
      </c>
    </row>
    <row r="4812" spans="21:23">
      <c r="U4812" s="693">
        <f t="shared" si="75"/>
        <v>44621</v>
      </c>
      <c r="V4812" s="698">
        <v>44623</v>
      </c>
      <c r="W4812">
        <v>3862.95</v>
      </c>
    </row>
    <row r="4813" spans="21:23">
      <c r="U4813" s="693">
        <f t="shared" si="75"/>
        <v>44621</v>
      </c>
      <c r="V4813" s="698">
        <v>44624</v>
      </c>
      <c r="W4813">
        <v>3771.77</v>
      </c>
    </row>
    <row r="4814" spans="21:23">
      <c r="U4814" s="693">
        <f t="shared" si="75"/>
        <v>44621</v>
      </c>
      <c r="V4814" s="698">
        <v>44625</v>
      </c>
      <c r="W4814">
        <v>3806.11</v>
      </c>
    </row>
    <row r="4815" spans="21:23">
      <c r="U4815" s="693">
        <f t="shared" si="75"/>
        <v>44621</v>
      </c>
      <c r="V4815" s="698">
        <v>44626</v>
      </c>
      <c r="W4815">
        <v>3806.11</v>
      </c>
    </row>
    <row r="4816" spans="21:23">
      <c r="U4816" s="693">
        <f t="shared" si="75"/>
        <v>44621</v>
      </c>
      <c r="V4816" s="698">
        <v>44627</v>
      </c>
      <c r="W4816">
        <v>3806.11</v>
      </c>
    </row>
    <row r="4817" spans="21:23">
      <c r="U4817" s="693">
        <f t="shared" si="75"/>
        <v>44621</v>
      </c>
      <c r="V4817" s="698">
        <v>44628</v>
      </c>
      <c r="W4817">
        <v>3813.41</v>
      </c>
    </row>
    <row r="4818" spans="21:23">
      <c r="U4818" s="693">
        <f t="shared" si="75"/>
        <v>44621</v>
      </c>
      <c r="V4818" s="698">
        <v>44629</v>
      </c>
      <c r="W4818">
        <v>3787.18</v>
      </c>
    </row>
    <row r="4819" spans="21:23">
      <c r="U4819" s="693">
        <f t="shared" si="75"/>
        <v>44621</v>
      </c>
      <c r="V4819" s="698">
        <v>44630</v>
      </c>
      <c r="W4819">
        <v>3746.43</v>
      </c>
    </row>
    <row r="4820" spans="21:23">
      <c r="U4820" s="693">
        <f t="shared" si="75"/>
        <v>44621</v>
      </c>
      <c r="V4820" s="698">
        <v>44631</v>
      </c>
      <c r="W4820">
        <v>3786</v>
      </c>
    </row>
    <row r="4821" spans="21:23">
      <c r="U4821" s="693">
        <f t="shared" si="75"/>
        <v>44621</v>
      </c>
      <c r="V4821" s="698">
        <v>44632</v>
      </c>
      <c r="W4821">
        <v>3827.64</v>
      </c>
    </row>
    <row r="4822" spans="21:23">
      <c r="U4822" s="693">
        <f t="shared" si="75"/>
        <v>44621</v>
      </c>
      <c r="V4822" s="698">
        <v>44633</v>
      </c>
      <c r="W4822">
        <v>3827.64</v>
      </c>
    </row>
    <row r="4823" spans="21:23">
      <c r="U4823" s="693">
        <f t="shared" si="75"/>
        <v>44621</v>
      </c>
      <c r="V4823" s="698">
        <v>44634</v>
      </c>
      <c r="W4823">
        <v>3827.64</v>
      </c>
    </row>
    <row r="4824" spans="21:23">
      <c r="U4824" s="693">
        <f t="shared" si="75"/>
        <v>44621</v>
      </c>
      <c r="V4824" s="698">
        <v>44635</v>
      </c>
      <c r="W4824">
        <v>3800.85</v>
      </c>
    </row>
    <row r="4825" spans="21:23">
      <c r="U4825" s="693">
        <f t="shared" si="75"/>
        <v>44621</v>
      </c>
      <c r="V4825" s="698">
        <v>44636</v>
      </c>
      <c r="W4825">
        <v>3836.56</v>
      </c>
    </row>
    <row r="4826" spans="21:23">
      <c r="U4826" s="693">
        <f t="shared" si="75"/>
        <v>44621</v>
      </c>
      <c r="V4826" s="698">
        <v>44637</v>
      </c>
      <c r="W4826">
        <v>3826.89</v>
      </c>
    </row>
    <row r="4827" spans="21:23">
      <c r="U4827" s="693">
        <f t="shared" si="75"/>
        <v>44621</v>
      </c>
      <c r="V4827" s="698">
        <v>44638</v>
      </c>
      <c r="W4827">
        <v>3816.43</v>
      </c>
    </row>
    <row r="4828" spans="21:23">
      <c r="U4828" s="693">
        <f t="shared" si="75"/>
        <v>44621</v>
      </c>
      <c r="V4828" s="698">
        <v>44639</v>
      </c>
      <c r="W4828">
        <v>3820.67</v>
      </c>
    </row>
    <row r="4829" spans="21:23">
      <c r="U4829" s="693">
        <f t="shared" si="75"/>
        <v>44621</v>
      </c>
      <c r="V4829" s="698">
        <v>44640</v>
      </c>
      <c r="W4829">
        <v>3820.67</v>
      </c>
    </row>
    <row r="4830" spans="21:23">
      <c r="U4830" s="693">
        <f t="shared" si="75"/>
        <v>44621</v>
      </c>
      <c r="V4830" s="698">
        <v>44641</v>
      </c>
      <c r="W4830">
        <v>3820.67</v>
      </c>
    </row>
    <row r="4831" spans="21:23">
      <c r="U4831" s="693">
        <f t="shared" si="75"/>
        <v>44621</v>
      </c>
      <c r="V4831" s="698">
        <v>44642</v>
      </c>
      <c r="W4831">
        <v>3820.67</v>
      </c>
    </row>
    <row r="4832" spans="21:23">
      <c r="U4832" s="693">
        <f t="shared" si="75"/>
        <v>44621</v>
      </c>
      <c r="V4832" s="698">
        <v>44643</v>
      </c>
      <c r="W4832">
        <v>3765.67</v>
      </c>
    </row>
    <row r="4833" spans="21:23">
      <c r="U4833" s="693">
        <f t="shared" si="75"/>
        <v>44621</v>
      </c>
      <c r="V4833" s="698">
        <v>44644</v>
      </c>
      <c r="W4833">
        <v>3756.64</v>
      </c>
    </row>
    <row r="4834" spans="21:23">
      <c r="U4834" s="693">
        <f t="shared" si="75"/>
        <v>44621</v>
      </c>
      <c r="V4834" s="698">
        <v>44645</v>
      </c>
      <c r="W4834">
        <v>3798.9</v>
      </c>
    </row>
    <row r="4835" spans="21:23">
      <c r="U4835" s="693">
        <f t="shared" si="75"/>
        <v>44621</v>
      </c>
      <c r="V4835" s="698">
        <v>44646</v>
      </c>
      <c r="W4835">
        <v>3785.66</v>
      </c>
    </row>
    <row r="4836" spans="21:23">
      <c r="U4836" s="693">
        <f t="shared" si="75"/>
        <v>44621</v>
      </c>
      <c r="V4836" s="698">
        <v>44647</v>
      </c>
      <c r="W4836">
        <v>3785.66</v>
      </c>
    </row>
    <row r="4837" spans="21:23">
      <c r="U4837" s="693">
        <f t="shared" si="75"/>
        <v>44621</v>
      </c>
      <c r="V4837" s="698">
        <v>44648</v>
      </c>
      <c r="W4837">
        <v>3785.66</v>
      </c>
    </row>
    <row r="4838" spans="21:23">
      <c r="U4838" s="693">
        <f t="shared" si="75"/>
        <v>44621</v>
      </c>
      <c r="V4838" s="698">
        <v>44649</v>
      </c>
      <c r="W4838">
        <v>3785.7</v>
      </c>
    </row>
    <row r="4839" spans="21:23">
      <c r="U4839" s="693">
        <f t="shared" si="75"/>
        <v>44621</v>
      </c>
      <c r="V4839" s="698">
        <v>44650</v>
      </c>
      <c r="W4839">
        <v>3765.96</v>
      </c>
    </row>
    <row r="4840" spans="21:23">
      <c r="U4840" s="693">
        <f t="shared" si="75"/>
        <v>44621</v>
      </c>
      <c r="V4840" s="698">
        <v>44651</v>
      </c>
      <c r="W4840">
        <v>3748.15</v>
      </c>
    </row>
    <row r="4841" spans="21:23">
      <c r="U4841" s="693">
        <f t="shared" si="75"/>
        <v>44652</v>
      </c>
      <c r="V4841" s="698">
        <v>44652</v>
      </c>
      <c r="W4841">
        <v>3756.03</v>
      </c>
    </row>
    <row r="4842" spans="21:23">
      <c r="U4842" s="693">
        <f t="shared" si="75"/>
        <v>44652</v>
      </c>
      <c r="V4842" s="698">
        <v>44653</v>
      </c>
      <c r="W4842">
        <v>3774.79</v>
      </c>
    </row>
    <row r="4843" spans="21:23">
      <c r="U4843" s="693">
        <f t="shared" si="75"/>
        <v>44652</v>
      </c>
      <c r="V4843" s="698">
        <v>44654</v>
      </c>
      <c r="W4843">
        <v>3774.79</v>
      </c>
    </row>
    <row r="4844" spans="21:23">
      <c r="U4844" s="693">
        <f t="shared" si="75"/>
        <v>44652</v>
      </c>
      <c r="V4844" s="698">
        <v>44655</v>
      </c>
      <c r="W4844">
        <v>3774.79</v>
      </c>
    </row>
    <row r="4845" spans="21:23">
      <c r="U4845" s="693">
        <f t="shared" si="75"/>
        <v>44652</v>
      </c>
      <c r="V4845" s="698">
        <v>44656</v>
      </c>
      <c r="W4845">
        <v>3706.95</v>
      </c>
    </row>
    <row r="4846" spans="21:23">
      <c r="U4846" s="693">
        <f t="shared" si="75"/>
        <v>44652</v>
      </c>
      <c r="V4846" s="698">
        <v>44657</v>
      </c>
      <c r="W4846">
        <v>3723.79</v>
      </c>
    </row>
    <row r="4847" spans="21:23">
      <c r="U4847" s="693">
        <f t="shared" si="75"/>
        <v>44652</v>
      </c>
      <c r="V4847" s="698">
        <v>44658</v>
      </c>
      <c r="W4847">
        <v>3746.51</v>
      </c>
    </row>
    <row r="4848" spans="21:23">
      <c r="U4848" s="693">
        <f t="shared" si="75"/>
        <v>44652</v>
      </c>
      <c r="V4848" s="698">
        <v>44659</v>
      </c>
      <c r="W4848">
        <v>3771.83</v>
      </c>
    </row>
    <row r="4849" spans="21:23">
      <c r="U4849" s="693">
        <f t="shared" si="75"/>
        <v>44652</v>
      </c>
      <c r="V4849" s="698">
        <v>44660</v>
      </c>
      <c r="W4849">
        <v>3777.41</v>
      </c>
    </row>
    <row r="4850" spans="21:23">
      <c r="U4850" s="693">
        <f t="shared" si="75"/>
        <v>44652</v>
      </c>
      <c r="V4850" s="698">
        <v>44661</v>
      </c>
      <c r="W4850">
        <v>3777.41</v>
      </c>
    </row>
    <row r="4851" spans="21:23">
      <c r="U4851" s="693">
        <f t="shared" si="75"/>
        <v>44652</v>
      </c>
      <c r="V4851" s="698">
        <v>44662</v>
      </c>
      <c r="W4851">
        <v>3777.41</v>
      </c>
    </row>
    <row r="4852" spans="21:23">
      <c r="U4852" s="693">
        <f t="shared" si="75"/>
        <v>44652</v>
      </c>
      <c r="V4852" s="698">
        <v>44663</v>
      </c>
      <c r="W4852">
        <v>3744.16</v>
      </c>
    </row>
    <row r="4853" spans="21:23">
      <c r="U4853" s="693">
        <f t="shared" si="75"/>
        <v>44652</v>
      </c>
      <c r="V4853" s="698">
        <v>44664</v>
      </c>
      <c r="W4853">
        <v>3736.7</v>
      </c>
    </row>
    <row r="4854" spans="21:23">
      <c r="U4854" s="693">
        <f t="shared" si="75"/>
        <v>44652</v>
      </c>
      <c r="V4854" s="698">
        <v>44665</v>
      </c>
      <c r="W4854">
        <v>3737.32</v>
      </c>
    </row>
    <row r="4855" spans="21:23">
      <c r="U4855" s="693">
        <f t="shared" si="75"/>
        <v>44652</v>
      </c>
      <c r="V4855" s="698">
        <v>44666</v>
      </c>
      <c r="W4855">
        <v>3737.32</v>
      </c>
    </row>
    <row r="4856" spans="21:23">
      <c r="U4856" s="693">
        <f t="shared" si="75"/>
        <v>44652</v>
      </c>
      <c r="V4856" s="698">
        <v>44667</v>
      </c>
      <c r="W4856">
        <v>3737.32</v>
      </c>
    </row>
    <row r="4857" spans="21:23">
      <c r="U4857" s="693">
        <f t="shared" si="75"/>
        <v>44652</v>
      </c>
      <c r="V4857" s="698">
        <v>44668</v>
      </c>
      <c r="W4857">
        <v>3737.32</v>
      </c>
    </row>
    <row r="4858" spans="21:23">
      <c r="U4858" s="693">
        <f t="shared" si="75"/>
        <v>44652</v>
      </c>
      <c r="V4858" s="698">
        <v>44669</v>
      </c>
      <c r="W4858">
        <v>3737.32</v>
      </c>
    </row>
    <row r="4859" spans="21:23">
      <c r="U4859" s="693">
        <f t="shared" si="75"/>
        <v>44652</v>
      </c>
      <c r="V4859" s="698">
        <v>44670</v>
      </c>
      <c r="W4859">
        <v>3731.31</v>
      </c>
    </row>
    <row r="4860" spans="21:23">
      <c r="U4860" s="693">
        <f t="shared" si="75"/>
        <v>44652</v>
      </c>
      <c r="V4860" s="698">
        <v>44671</v>
      </c>
      <c r="W4860">
        <v>3755.85</v>
      </c>
    </row>
    <row r="4861" spans="21:23">
      <c r="U4861" s="693">
        <f t="shared" si="75"/>
        <v>44652</v>
      </c>
      <c r="V4861" s="698">
        <v>44672</v>
      </c>
      <c r="W4861">
        <v>3758.65</v>
      </c>
    </row>
    <row r="4862" spans="21:23">
      <c r="U4862" s="693">
        <f t="shared" si="75"/>
        <v>44652</v>
      </c>
      <c r="V4862" s="698">
        <v>44673</v>
      </c>
      <c r="W4862">
        <v>3759.54</v>
      </c>
    </row>
    <row r="4863" spans="21:23">
      <c r="U4863" s="693">
        <f t="shared" si="75"/>
        <v>44652</v>
      </c>
      <c r="V4863" s="698">
        <v>44674</v>
      </c>
      <c r="W4863">
        <v>3819.07</v>
      </c>
    </row>
    <row r="4864" spans="21:23">
      <c r="U4864" s="693">
        <f t="shared" si="75"/>
        <v>44652</v>
      </c>
      <c r="V4864" s="698">
        <v>44675</v>
      </c>
      <c r="W4864">
        <v>3819.07</v>
      </c>
    </row>
    <row r="4865" spans="21:23">
      <c r="U4865" s="693">
        <f t="shared" si="75"/>
        <v>44652</v>
      </c>
      <c r="V4865" s="698">
        <v>44676</v>
      </c>
      <c r="W4865">
        <v>3819.07</v>
      </c>
    </row>
    <row r="4866" spans="21:23">
      <c r="U4866" s="693">
        <f t="shared" si="75"/>
        <v>44652</v>
      </c>
      <c r="V4866" s="698">
        <v>44677</v>
      </c>
      <c r="W4866">
        <v>3931.74</v>
      </c>
    </row>
    <row r="4867" spans="21:23">
      <c r="U4867" s="693">
        <f t="shared" ref="U4867:U4930" si="76">+DATE(YEAR(V4867),MONTH(V4867),1)</f>
        <v>44652</v>
      </c>
      <c r="V4867" s="698">
        <v>44678</v>
      </c>
      <c r="W4867">
        <v>3947.63</v>
      </c>
    </row>
    <row r="4868" spans="21:23">
      <c r="U4868" s="693">
        <f t="shared" si="76"/>
        <v>44652</v>
      </c>
      <c r="V4868" s="698">
        <v>44679</v>
      </c>
      <c r="W4868">
        <v>3967.32</v>
      </c>
    </row>
    <row r="4869" spans="21:23">
      <c r="U4869" s="693">
        <f t="shared" si="76"/>
        <v>44652</v>
      </c>
      <c r="V4869" s="698">
        <v>44680</v>
      </c>
      <c r="W4869">
        <v>3984.77</v>
      </c>
    </row>
    <row r="4870" spans="21:23">
      <c r="U4870" s="693">
        <f t="shared" si="76"/>
        <v>44652</v>
      </c>
      <c r="V4870" s="698">
        <v>44681</v>
      </c>
      <c r="W4870">
        <v>3966.27</v>
      </c>
    </row>
    <row r="4871" spans="21:23">
      <c r="U4871" s="693">
        <f t="shared" si="76"/>
        <v>44682</v>
      </c>
      <c r="V4871" s="698">
        <v>44682</v>
      </c>
      <c r="W4871">
        <v>3966.27</v>
      </c>
    </row>
    <row r="4872" spans="21:23">
      <c r="U4872" s="693">
        <f t="shared" si="76"/>
        <v>44682</v>
      </c>
      <c r="V4872" s="698">
        <v>44683</v>
      </c>
      <c r="W4872">
        <v>3966.27</v>
      </c>
    </row>
    <row r="4873" spans="21:23">
      <c r="U4873" s="693">
        <f t="shared" si="76"/>
        <v>44682</v>
      </c>
      <c r="V4873" s="698">
        <v>44684</v>
      </c>
      <c r="W4873">
        <v>4004.07</v>
      </c>
    </row>
    <row r="4874" spans="21:23">
      <c r="U4874" s="693">
        <f t="shared" si="76"/>
        <v>44682</v>
      </c>
      <c r="V4874" s="698">
        <v>44685</v>
      </c>
      <c r="W4874">
        <v>4016.34</v>
      </c>
    </row>
    <row r="4875" spans="21:23">
      <c r="U4875" s="693">
        <f t="shared" si="76"/>
        <v>44682</v>
      </c>
      <c r="V4875" s="698">
        <v>44686</v>
      </c>
      <c r="W4875">
        <v>4056.41</v>
      </c>
    </row>
    <row r="4876" spans="21:23">
      <c r="U4876" s="693">
        <f t="shared" si="76"/>
        <v>44682</v>
      </c>
      <c r="V4876" s="698">
        <v>44687</v>
      </c>
      <c r="W4876">
        <v>4086.08</v>
      </c>
    </row>
    <row r="4877" spans="21:23">
      <c r="U4877" s="693">
        <f t="shared" si="76"/>
        <v>44682</v>
      </c>
      <c r="V4877" s="698">
        <v>44688</v>
      </c>
      <c r="W4877">
        <v>4053.93</v>
      </c>
    </row>
    <row r="4878" spans="21:23">
      <c r="U4878" s="693">
        <f t="shared" si="76"/>
        <v>44682</v>
      </c>
      <c r="V4878" s="698">
        <v>44689</v>
      </c>
      <c r="W4878">
        <v>4053.93</v>
      </c>
    </row>
    <row r="4879" spans="21:23">
      <c r="U4879" s="693">
        <f t="shared" si="76"/>
        <v>44682</v>
      </c>
      <c r="V4879" s="698">
        <v>44690</v>
      </c>
      <c r="W4879">
        <v>4053.93</v>
      </c>
    </row>
    <row r="4880" spans="21:23">
      <c r="U4880" s="693">
        <f t="shared" si="76"/>
        <v>44682</v>
      </c>
      <c r="V4880" s="698">
        <v>44691</v>
      </c>
      <c r="W4880">
        <v>4085.76</v>
      </c>
    </row>
    <row r="4881" spans="21:23">
      <c r="U4881" s="693">
        <f t="shared" si="76"/>
        <v>44682</v>
      </c>
      <c r="V4881" s="698">
        <v>44692</v>
      </c>
      <c r="W4881">
        <v>4086.71</v>
      </c>
    </row>
    <row r="4882" spans="21:23">
      <c r="U4882" s="693">
        <f t="shared" si="76"/>
        <v>44682</v>
      </c>
      <c r="V4882" s="698">
        <v>44693</v>
      </c>
      <c r="W4882">
        <v>4080.32</v>
      </c>
    </row>
    <row r="4883" spans="21:23">
      <c r="U4883" s="693">
        <f t="shared" si="76"/>
        <v>44682</v>
      </c>
      <c r="V4883" s="698">
        <v>44694</v>
      </c>
      <c r="W4883">
        <v>4109.71</v>
      </c>
    </row>
    <row r="4884" spans="21:23">
      <c r="U4884" s="693">
        <f t="shared" si="76"/>
        <v>44682</v>
      </c>
      <c r="V4884" s="698">
        <v>44695</v>
      </c>
      <c r="W4884">
        <v>4110.53</v>
      </c>
    </row>
    <row r="4885" spans="21:23">
      <c r="U4885" s="693">
        <f t="shared" si="76"/>
        <v>44682</v>
      </c>
      <c r="V4885" s="698">
        <v>44696</v>
      </c>
      <c r="W4885">
        <v>4110.53</v>
      </c>
    </row>
    <row r="4886" spans="21:23">
      <c r="U4886" s="693">
        <f t="shared" si="76"/>
        <v>44682</v>
      </c>
      <c r="V4886" s="698">
        <v>44697</v>
      </c>
      <c r="W4886">
        <v>4110.53</v>
      </c>
    </row>
    <row r="4887" spans="21:23">
      <c r="U4887" s="693">
        <f t="shared" si="76"/>
        <v>44682</v>
      </c>
      <c r="V4887" s="698">
        <v>44698</v>
      </c>
      <c r="W4887">
        <v>4070.25</v>
      </c>
    </row>
    <row r="4888" spans="21:23">
      <c r="U4888" s="693">
        <f t="shared" si="76"/>
        <v>44682</v>
      </c>
      <c r="V4888" s="698">
        <v>44699</v>
      </c>
      <c r="W4888">
        <v>4033.85</v>
      </c>
    </row>
    <row r="4889" spans="21:23">
      <c r="U4889" s="693">
        <f t="shared" si="76"/>
        <v>44682</v>
      </c>
      <c r="V4889" s="698">
        <v>44700</v>
      </c>
      <c r="W4889">
        <v>4054.71</v>
      </c>
    </row>
    <row r="4890" spans="21:23">
      <c r="U4890" s="693">
        <f t="shared" si="76"/>
        <v>44682</v>
      </c>
      <c r="V4890" s="698">
        <v>44701</v>
      </c>
      <c r="W4890">
        <v>4050.88</v>
      </c>
    </row>
    <row r="4891" spans="21:23">
      <c r="U4891" s="693">
        <f t="shared" si="76"/>
        <v>44682</v>
      </c>
      <c r="V4891" s="698">
        <v>44702</v>
      </c>
      <c r="W4891">
        <v>3989.84</v>
      </c>
    </row>
    <row r="4892" spans="21:23">
      <c r="U4892" s="693">
        <f t="shared" si="76"/>
        <v>44682</v>
      </c>
      <c r="V4892" s="698">
        <v>44703</v>
      </c>
      <c r="W4892">
        <v>3989.84</v>
      </c>
    </row>
    <row r="4893" spans="21:23">
      <c r="U4893" s="693">
        <f t="shared" si="76"/>
        <v>44682</v>
      </c>
      <c r="V4893" s="698">
        <v>44704</v>
      </c>
      <c r="W4893">
        <v>3989.84</v>
      </c>
    </row>
    <row r="4894" spans="21:23">
      <c r="U4894" s="693">
        <f t="shared" si="76"/>
        <v>44682</v>
      </c>
      <c r="V4894" s="698">
        <v>44705</v>
      </c>
      <c r="W4894">
        <v>3950.35</v>
      </c>
    </row>
    <row r="4895" spans="21:23">
      <c r="U4895" s="693">
        <f t="shared" si="76"/>
        <v>44682</v>
      </c>
      <c r="V4895" s="698">
        <v>44706</v>
      </c>
      <c r="W4895">
        <v>3971.28</v>
      </c>
    </row>
    <row r="4896" spans="21:23">
      <c r="U4896" s="693">
        <f t="shared" si="76"/>
        <v>44682</v>
      </c>
      <c r="V4896" s="698">
        <v>44707</v>
      </c>
      <c r="W4896">
        <v>3959.05</v>
      </c>
    </row>
    <row r="4897" spans="21:23">
      <c r="U4897" s="693">
        <f t="shared" si="76"/>
        <v>44682</v>
      </c>
      <c r="V4897" s="698">
        <v>44708</v>
      </c>
      <c r="W4897">
        <v>3930.89</v>
      </c>
    </row>
    <row r="4898" spans="21:23">
      <c r="U4898" s="693">
        <f t="shared" si="76"/>
        <v>44682</v>
      </c>
      <c r="V4898" s="698">
        <v>44709</v>
      </c>
      <c r="W4898">
        <v>3912.34</v>
      </c>
    </row>
    <row r="4899" spans="21:23">
      <c r="U4899" s="693">
        <f t="shared" si="76"/>
        <v>44682</v>
      </c>
      <c r="V4899" s="698">
        <v>44710</v>
      </c>
      <c r="W4899">
        <v>3912.34</v>
      </c>
    </row>
    <row r="4900" spans="21:23">
      <c r="U4900" s="693">
        <f t="shared" si="76"/>
        <v>44682</v>
      </c>
      <c r="V4900" s="698">
        <v>44711</v>
      </c>
      <c r="W4900">
        <v>3912.34</v>
      </c>
    </row>
    <row r="4901" spans="21:23">
      <c r="U4901" s="693">
        <f t="shared" si="76"/>
        <v>44682</v>
      </c>
      <c r="V4901" s="698">
        <v>44712</v>
      </c>
      <c r="W4901">
        <v>3912.34</v>
      </c>
    </row>
    <row r="4902" spans="21:23">
      <c r="U4902" s="693">
        <f t="shared" si="76"/>
        <v>44713</v>
      </c>
      <c r="V4902" s="698">
        <v>44713</v>
      </c>
      <c r="W4902">
        <v>3776.52</v>
      </c>
    </row>
    <row r="4903" spans="21:23">
      <c r="U4903" s="693">
        <f t="shared" si="76"/>
        <v>44713</v>
      </c>
      <c r="V4903" s="698">
        <v>44714</v>
      </c>
      <c r="W4903">
        <v>3791.74</v>
      </c>
    </row>
    <row r="4904" spans="21:23">
      <c r="U4904" s="693">
        <f t="shared" si="76"/>
        <v>44713</v>
      </c>
      <c r="V4904" s="698">
        <v>44715</v>
      </c>
      <c r="W4904">
        <v>3784.98</v>
      </c>
    </row>
    <row r="4905" spans="21:23">
      <c r="U4905" s="693">
        <f t="shared" si="76"/>
        <v>44713</v>
      </c>
      <c r="V4905" s="698">
        <v>44716</v>
      </c>
      <c r="W4905">
        <v>3771.63</v>
      </c>
    </row>
    <row r="4906" spans="21:23">
      <c r="U4906" s="693">
        <f t="shared" si="76"/>
        <v>44713</v>
      </c>
      <c r="V4906" s="698">
        <v>44717</v>
      </c>
      <c r="W4906">
        <v>3771.63</v>
      </c>
    </row>
    <row r="4907" spans="21:23">
      <c r="U4907" s="693">
        <f t="shared" si="76"/>
        <v>44713</v>
      </c>
      <c r="V4907" s="698">
        <v>44718</v>
      </c>
      <c r="W4907">
        <v>3771.63</v>
      </c>
    </row>
    <row r="4908" spans="21:23">
      <c r="U4908" s="693">
        <f t="shared" si="76"/>
        <v>44713</v>
      </c>
      <c r="V4908" s="698">
        <v>44719</v>
      </c>
      <c r="W4908">
        <v>3799.5</v>
      </c>
    </row>
    <row r="4909" spans="21:23">
      <c r="U4909" s="693">
        <f t="shared" si="76"/>
        <v>44713</v>
      </c>
      <c r="V4909" s="698">
        <v>44720</v>
      </c>
      <c r="W4909">
        <v>3790.88</v>
      </c>
    </row>
    <row r="4910" spans="21:23">
      <c r="U4910" s="693">
        <f t="shared" si="76"/>
        <v>44713</v>
      </c>
      <c r="V4910" s="698">
        <v>44721</v>
      </c>
      <c r="W4910">
        <v>3782.65</v>
      </c>
    </row>
    <row r="4911" spans="21:23">
      <c r="U4911" s="693">
        <f t="shared" si="76"/>
        <v>44713</v>
      </c>
      <c r="V4911" s="698">
        <v>44722</v>
      </c>
      <c r="W4911">
        <v>3833.34</v>
      </c>
    </row>
    <row r="4912" spans="21:23">
      <c r="U4912" s="693">
        <f t="shared" si="76"/>
        <v>44713</v>
      </c>
      <c r="V4912" s="698">
        <v>44723</v>
      </c>
      <c r="W4912">
        <v>3912.51</v>
      </c>
    </row>
    <row r="4913" spans="21:23">
      <c r="U4913" s="693">
        <f t="shared" si="76"/>
        <v>44713</v>
      </c>
      <c r="V4913" s="698">
        <v>44724</v>
      </c>
      <c r="W4913">
        <v>3912.51</v>
      </c>
    </row>
    <row r="4914" spans="21:23">
      <c r="U4914" s="693">
        <f t="shared" si="76"/>
        <v>44713</v>
      </c>
      <c r="V4914" s="698">
        <v>44725</v>
      </c>
      <c r="W4914">
        <v>3912.51</v>
      </c>
    </row>
    <row r="4915" spans="21:23">
      <c r="U4915" s="693">
        <f t="shared" si="76"/>
        <v>44713</v>
      </c>
      <c r="V4915" s="698">
        <v>44726</v>
      </c>
      <c r="W4915">
        <v>4016.5</v>
      </c>
    </row>
    <row r="4916" spans="21:23">
      <c r="U4916" s="693">
        <f t="shared" si="76"/>
        <v>44713</v>
      </c>
      <c r="V4916" s="698">
        <v>44727</v>
      </c>
      <c r="W4916">
        <v>3979.3</v>
      </c>
    </row>
    <row r="4917" spans="21:23">
      <c r="U4917" s="693">
        <f t="shared" si="76"/>
        <v>44713</v>
      </c>
      <c r="V4917" s="698">
        <v>44728</v>
      </c>
      <c r="W4917">
        <v>3923.96</v>
      </c>
    </row>
    <row r="4918" spans="21:23">
      <c r="U4918" s="693">
        <f t="shared" si="76"/>
        <v>44713</v>
      </c>
      <c r="V4918" s="698">
        <v>44729</v>
      </c>
      <c r="W4918">
        <v>3912.15</v>
      </c>
    </row>
    <row r="4919" spans="21:23">
      <c r="U4919" s="693">
        <f t="shared" si="76"/>
        <v>44713</v>
      </c>
      <c r="V4919" s="698">
        <v>44730</v>
      </c>
      <c r="W4919">
        <v>3905.05</v>
      </c>
    </row>
    <row r="4920" spans="21:23">
      <c r="U4920" s="693">
        <f t="shared" si="76"/>
        <v>44713</v>
      </c>
      <c r="V4920" s="698">
        <v>44731</v>
      </c>
      <c r="W4920">
        <v>3905.05</v>
      </c>
    </row>
    <row r="4921" spans="21:23">
      <c r="U4921" s="693">
        <f t="shared" si="76"/>
        <v>44713</v>
      </c>
      <c r="V4921" s="698">
        <v>44732</v>
      </c>
      <c r="W4921">
        <v>3905.05</v>
      </c>
    </row>
    <row r="4922" spans="21:23">
      <c r="U4922" s="693">
        <f t="shared" si="76"/>
        <v>44713</v>
      </c>
      <c r="V4922" s="698">
        <v>44733</v>
      </c>
      <c r="W4922">
        <v>3905.05</v>
      </c>
    </row>
    <row r="4923" spans="21:23">
      <c r="U4923" s="693">
        <f t="shared" si="76"/>
        <v>44713</v>
      </c>
      <c r="V4923" s="698">
        <v>44734</v>
      </c>
      <c r="W4923">
        <v>4026.92</v>
      </c>
    </row>
    <row r="4924" spans="21:23">
      <c r="U4924" s="693">
        <f t="shared" si="76"/>
        <v>44713</v>
      </c>
      <c r="V4924" s="698">
        <v>44735</v>
      </c>
      <c r="W4924">
        <v>4026.52</v>
      </c>
    </row>
    <row r="4925" spans="21:23">
      <c r="U4925" s="693">
        <f t="shared" si="76"/>
        <v>44713</v>
      </c>
      <c r="V4925" s="698">
        <v>44736</v>
      </c>
      <c r="W4925">
        <v>4068.75</v>
      </c>
    </row>
    <row r="4926" spans="21:23">
      <c r="U4926" s="693">
        <f t="shared" si="76"/>
        <v>44713</v>
      </c>
      <c r="V4926" s="698">
        <v>44737</v>
      </c>
      <c r="W4926">
        <v>4129.87</v>
      </c>
    </row>
    <row r="4927" spans="21:23">
      <c r="U4927" s="693">
        <f t="shared" si="76"/>
        <v>44713</v>
      </c>
      <c r="V4927" s="698">
        <v>44738</v>
      </c>
      <c r="W4927">
        <v>4129.87</v>
      </c>
    </row>
    <row r="4928" spans="21:23">
      <c r="U4928" s="693">
        <f t="shared" si="76"/>
        <v>44713</v>
      </c>
      <c r="V4928" s="698">
        <v>44739</v>
      </c>
      <c r="W4928">
        <v>4129.87</v>
      </c>
    </row>
    <row r="4929" spans="21:23">
      <c r="U4929" s="693">
        <f t="shared" si="76"/>
        <v>44713</v>
      </c>
      <c r="V4929" s="698">
        <v>44740</v>
      </c>
      <c r="W4929">
        <v>4129.87</v>
      </c>
    </row>
    <row r="4930" spans="21:23">
      <c r="U4930" s="693">
        <f t="shared" si="76"/>
        <v>44713</v>
      </c>
      <c r="V4930" s="698">
        <v>44741</v>
      </c>
      <c r="W4930">
        <v>4089.72</v>
      </c>
    </row>
    <row r="4931" spans="21:23">
      <c r="U4931" s="693">
        <f t="shared" ref="U4931:U4994" si="77">+DATE(YEAR(V4931),MONTH(V4931),1)</f>
        <v>44713</v>
      </c>
      <c r="V4931" s="698">
        <v>44742</v>
      </c>
      <c r="W4931">
        <v>4127.47</v>
      </c>
    </row>
    <row r="4932" spans="21:23">
      <c r="U4932" s="693">
        <f t="shared" si="77"/>
        <v>44743</v>
      </c>
      <c r="V4932" s="698">
        <v>44743</v>
      </c>
      <c r="W4932">
        <v>4151.21</v>
      </c>
    </row>
    <row r="4933" spans="21:23">
      <c r="U4933" s="693">
        <f t="shared" si="77"/>
        <v>44743</v>
      </c>
      <c r="V4933" s="698">
        <v>44744</v>
      </c>
      <c r="W4933">
        <v>4198.7700000000004</v>
      </c>
    </row>
    <row r="4934" spans="21:23">
      <c r="U4934" s="693">
        <f t="shared" si="77"/>
        <v>44743</v>
      </c>
      <c r="V4934" s="698">
        <v>44745</v>
      </c>
      <c r="W4934">
        <v>4198.7700000000004</v>
      </c>
    </row>
    <row r="4935" spans="21:23">
      <c r="U4935" s="693">
        <f t="shared" si="77"/>
        <v>44743</v>
      </c>
      <c r="V4935" s="698">
        <v>44746</v>
      </c>
      <c r="W4935">
        <v>4198.7700000000004</v>
      </c>
    </row>
    <row r="4936" spans="21:23">
      <c r="U4936" s="693">
        <f t="shared" si="77"/>
        <v>44743</v>
      </c>
      <c r="V4936" s="698">
        <v>44747</v>
      </c>
      <c r="W4936">
        <v>4198.7700000000004</v>
      </c>
    </row>
    <row r="4937" spans="21:23">
      <c r="U4937" s="693">
        <f t="shared" si="77"/>
        <v>44743</v>
      </c>
      <c r="V4937" s="698">
        <v>44748</v>
      </c>
      <c r="W4937">
        <v>4259.8599999999997</v>
      </c>
    </row>
    <row r="4938" spans="21:23">
      <c r="U4938" s="693">
        <f t="shared" si="77"/>
        <v>44743</v>
      </c>
      <c r="V4938" s="698">
        <v>44749</v>
      </c>
      <c r="W4938">
        <v>4348.68</v>
      </c>
    </row>
    <row r="4939" spans="21:23">
      <c r="U4939" s="693">
        <f t="shared" si="77"/>
        <v>44743</v>
      </c>
      <c r="V4939" s="698">
        <v>44750</v>
      </c>
      <c r="W4939">
        <v>4369.7</v>
      </c>
    </row>
    <row r="4940" spans="21:23">
      <c r="U4940" s="693">
        <f t="shared" si="77"/>
        <v>44743</v>
      </c>
      <c r="V4940" s="698">
        <v>44751</v>
      </c>
      <c r="W4940">
        <v>4388.2700000000004</v>
      </c>
    </row>
    <row r="4941" spans="21:23">
      <c r="U4941" s="693">
        <f t="shared" si="77"/>
        <v>44743</v>
      </c>
      <c r="V4941" s="698">
        <v>44752</v>
      </c>
      <c r="W4941">
        <v>4388.2700000000004</v>
      </c>
    </row>
    <row r="4942" spans="21:23">
      <c r="U4942" s="693">
        <f t="shared" si="77"/>
        <v>44743</v>
      </c>
      <c r="V4942" s="698">
        <v>44753</v>
      </c>
      <c r="W4942">
        <v>4388.2700000000004</v>
      </c>
    </row>
    <row r="4943" spans="21:23">
      <c r="U4943" s="693">
        <f t="shared" si="77"/>
        <v>44743</v>
      </c>
      <c r="V4943" s="698">
        <v>44754</v>
      </c>
      <c r="W4943">
        <v>4513.28</v>
      </c>
    </row>
    <row r="4944" spans="21:23">
      <c r="U4944" s="693">
        <f t="shared" si="77"/>
        <v>44743</v>
      </c>
      <c r="V4944" s="698">
        <v>44755</v>
      </c>
      <c r="W4944">
        <v>4627.46</v>
      </c>
    </row>
    <row r="4945" spans="21:23">
      <c r="U4945" s="693">
        <f t="shared" si="77"/>
        <v>44743</v>
      </c>
      <c r="V4945" s="698">
        <v>44756</v>
      </c>
      <c r="W4945">
        <v>4558.05</v>
      </c>
    </row>
    <row r="4946" spans="21:23">
      <c r="U4946" s="693">
        <f t="shared" si="77"/>
        <v>44743</v>
      </c>
      <c r="V4946" s="698">
        <v>44757</v>
      </c>
      <c r="W4946">
        <v>4519.6499999999996</v>
      </c>
    </row>
    <row r="4947" spans="21:23">
      <c r="U4947" s="693">
        <f t="shared" si="77"/>
        <v>44743</v>
      </c>
      <c r="V4947" s="698">
        <v>44758</v>
      </c>
      <c r="W4947">
        <v>4395.63</v>
      </c>
    </row>
    <row r="4948" spans="21:23">
      <c r="U4948" s="693">
        <f t="shared" si="77"/>
        <v>44743</v>
      </c>
      <c r="V4948" s="698">
        <v>44759</v>
      </c>
      <c r="W4948">
        <v>4395.63</v>
      </c>
    </row>
    <row r="4949" spans="21:23">
      <c r="U4949" s="693">
        <f t="shared" si="77"/>
        <v>44743</v>
      </c>
      <c r="V4949" s="698">
        <v>44760</v>
      </c>
      <c r="W4949">
        <v>4395.63</v>
      </c>
    </row>
    <row r="4950" spans="21:23">
      <c r="U4950" s="693">
        <f t="shared" si="77"/>
        <v>44743</v>
      </c>
      <c r="V4950" s="698">
        <v>44761</v>
      </c>
      <c r="W4950">
        <v>4315.41</v>
      </c>
    </row>
    <row r="4951" spans="21:23">
      <c r="U4951" s="693">
        <f t="shared" si="77"/>
        <v>44743</v>
      </c>
      <c r="V4951" s="698">
        <v>44762</v>
      </c>
      <c r="W4951">
        <v>4303.34</v>
      </c>
    </row>
    <row r="4952" spans="21:23">
      <c r="U4952" s="693">
        <f t="shared" si="77"/>
        <v>44743</v>
      </c>
      <c r="V4952" s="698">
        <v>44763</v>
      </c>
      <c r="W4952">
        <v>4303.34</v>
      </c>
    </row>
    <row r="4953" spans="21:23">
      <c r="U4953" s="693">
        <f t="shared" si="77"/>
        <v>44743</v>
      </c>
      <c r="V4953" s="698">
        <v>44764</v>
      </c>
      <c r="W4953">
        <v>4410.1400000000003</v>
      </c>
    </row>
    <row r="4954" spans="21:23">
      <c r="U4954" s="693">
        <f t="shared" si="77"/>
        <v>44743</v>
      </c>
      <c r="V4954" s="698">
        <v>44765</v>
      </c>
      <c r="W4954">
        <v>4423.8599999999997</v>
      </c>
    </row>
    <row r="4955" spans="21:23">
      <c r="U4955" s="693">
        <f t="shared" si="77"/>
        <v>44743</v>
      </c>
      <c r="V4955" s="698">
        <v>44766</v>
      </c>
      <c r="W4955">
        <v>4423.8599999999997</v>
      </c>
    </row>
    <row r="4956" spans="21:23">
      <c r="U4956" s="693">
        <f t="shared" si="77"/>
        <v>44743</v>
      </c>
      <c r="V4956" s="698">
        <v>44767</v>
      </c>
      <c r="W4956">
        <v>4423.8599999999997</v>
      </c>
    </row>
    <row r="4957" spans="21:23">
      <c r="U4957" s="693">
        <f t="shared" si="77"/>
        <v>44743</v>
      </c>
      <c r="V4957" s="698">
        <v>44768</v>
      </c>
      <c r="W4957">
        <v>4461.63</v>
      </c>
    </row>
    <row r="4958" spans="21:23">
      <c r="U4958" s="693">
        <f t="shared" si="77"/>
        <v>44743</v>
      </c>
      <c r="V4958" s="698">
        <v>44769</v>
      </c>
      <c r="W4958">
        <v>4445.01</v>
      </c>
    </row>
    <row r="4959" spans="21:23">
      <c r="U4959" s="693">
        <f t="shared" si="77"/>
        <v>44743</v>
      </c>
      <c r="V4959" s="698">
        <v>44770</v>
      </c>
      <c r="W4959">
        <v>4420.75</v>
      </c>
    </row>
    <row r="4960" spans="21:23">
      <c r="U4960" s="693">
        <f t="shared" si="77"/>
        <v>44743</v>
      </c>
      <c r="V4960" s="698">
        <v>44771</v>
      </c>
      <c r="W4960">
        <v>4375.51</v>
      </c>
    </row>
    <row r="4961" spans="21:23">
      <c r="U4961" s="693">
        <f t="shared" si="77"/>
        <v>44743</v>
      </c>
      <c r="V4961" s="698">
        <v>44772</v>
      </c>
      <c r="W4961">
        <v>4300.3</v>
      </c>
    </row>
    <row r="4962" spans="21:23">
      <c r="U4962" s="693">
        <f t="shared" si="77"/>
        <v>44743</v>
      </c>
      <c r="V4962" s="698">
        <v>44773</v>
      </c>
      <c r="W4962">
        <v>4300.3</v>
      </c>
    </row>
    <row r="4963" spans="21:23">
      <c r="U4963" s="693">
        <f t="shared" si="77"/>
        <v>44774</v>
      </c>
      <c r="V4963" s="698">
        <v>44774</v>
      </c>
      <c r="W4963">
        <v>4300.3</v>
      </c>
    </row>
    <row r="4964" spans="21:23">
      <c r="U4964" s="693">
        <f t="shared" si="77"/>
        <v>44774</v>
      </c>
      <c r="V4964" s="698">
        <v>44775</v>
      </c>
      <c r="W4964">
        <v>4245.99</v>
      </c>
    </row>
    <row r="4965" spans="21:23">
      <c r="U4965" s="693">
        <f t="shared" si="77"/>
        <v>44774</v>
      </c>
      <c r="V4965" s="698">
        <v>44776</v>
      </c>
      <c r="W4965">
        <v>4313.3</v>
      </c>
    </row>
    <row r="4966" spans="21:23">
      <c r="U4966" s="693">
        <f t="shared" si="77"/>
        <v>44774</v>
      </c>
      <c r="V4966" s="698">
        <v>44777</v>
      </c>
      <c r="W4966">
        <v>4331.1499999999996</v>
      </c>
    </row>
    <row r="4967" spans="21:23">
      <c r="U4967" s="693">
        <f t="shared" si="77"/>
        <v>44774</v>
      </c>
      <c r="V4967" s="698">
        <v>44778</v>
      </c>
      <c r="W4967">
        <v>4268.3</v>
      </c>
    </row>
    <row r="4968" spans="21:23">
      <c r="U4968" s="693">
        <f t="shared" si="77"/>
        <v>44774</v>
      </c>
      <c r="V4968" s="698">
        <v>44779</v>
      </c>
      <c r="W4968">
        <v>4337.28</v>
      </c>
    </row>
    <row r="4969" spans="21:23">
      <c r="U4969" s="693">
        <f t="shared" si="77"/>
        <v>44774</v>
      </c>
      <c r="V4969" s="698">
        <v>44780</v>
      </c>
      <c r="W4969">
        <v>4337.28</v>
      </c>
    </row>
    <row r="4970" spans="21:23">
      <c r="U4970" s="693">
        <f t="shared" si="77"/>
        <v>44774</v>
      </c>
      <c r="V4970" s="698">
        <v>44781</v>
      </c>
      <c r="W4970">
        <v>4337.28</v>
      </c>
    </row>
    <row r="4971" spans="21:23">
      <c r="U4971" s="693">
        <f t="shared" si="77"/>
        <v>44774</v>
      </c>
      <c r="V4971" s="698">
        <v>44782</v>
      </c>
      <c r="W4971">
        <v>4307.09</v>
      </c>
    </row>
    <row r="4972" spans="21:23">
      <c r="U4972" s="693">
        <f t="shared" si="77"/>
        <v>44774</v>
      </c>
      <c r="V4972" s="698">
        <v>44783</v>
      </c>
      <c r="W4972">
        <v>4309.6899999999996</v>
      </c>
    </row>
    <row r="4973" spans="21:23">
      <c r="U4973" s="693">
        <f t="shared" si="77"/>
        <v>44774</v>
      </c>
      <c r="V4973" s="698">
        <v>44784</v>
      </c>
      <c r="W4973">
        <v>4273.82</v>
      </c>
    </row>
    <row r="4974" spans="21:23">
      <c r="U4974" s="693">
        <f t="shared" si="77"/>
        <v>44774</v>
      </c>
      <c r="V4974" s="698">
        <v>44785</v>
      </c>
      <c r="W4974">
        <v>4231.45</v>
      </c>
    </row>
    <row r="4975" spans="21:23">
      <c r="U4975" s="693">
        <f t="shared" si="77"/>
        <v>44774</v>
      </c>
      <c r="V4975" s="698">
        <v>44786</v>
      </c>
      <c r="W4975">
        <v>4185.49</v>
      </c>
    </row>
    <row r="4976" spans="21:23">
      <c r="U4976" s="693">
        <f t="shared" si="77"/>
        <v>44774</v>
      </c>
      <c r="V4976" s="698">
        <v>44787</v>
      </c>
      <c r="W4976">
        <v>4185.49</v>
      </c>
    </row>
    <row r="4977" spans="21:23">
      <c r="U4977" s="693">
        <f t="shared" si="77"/>
        <v>44774</v>
      </c>
      <c r="V4977" s="698">
        <v>44788</v>
      </c>
      <c r="W4977">
        <v>4185.49</v>
      </c>
    </row>
    <row r="4978" spans="21:23">
      <c r="U4978" s="693">
        <f t="shared" si="77"/>
        <v>44774</v>
      </c>
      <c r="V4978" s="698">
        <v>44789</v>
      </c>
      <c r="W4978">
        <v>4185.49</v>
      </c>
    </row>
    <row r="4979" spans="21:23">
      <c r="U4979" s="693">
        <f t="shared" si="77"/>
        <v>44774</v>
      </c>
      <c r="V4979" s="698">
        <v>44790</v>
      </c>
      <c r="W4979">
        <v>4218.4799999999996</v>
      </c>
    </row>
    <row r="4980" spans="21:23">
      <c r="U4980" s="693">
        <f t="shared" si="77"/>
        <v>44774</v>
      </c>
      <c r="V4980" s="698">
        <v>44791</v>
      </c>
      <c r="W4980">
        <v>4316.47</v>
      </c>
    </row>
    <row r="4981" spans="21:23">
      <c r="U4981" s="693">
        <f t="shared" si="77"/>
        <v>44774</v>
      </c>
      <c r="V4981" s="698">
        <v>44792</v>
      </c>
      <c r="W4981">
        <v>4413.8599999999997</v>
      </c>
    </row>
    <row r="4982" spans="21:23">
      <c r="U4982" s="693">
        <f t="shared" si="77"/>
        <v>44774</v>
      </c>
      <c r="V4982" s="698">
        <v>44793</v>
      </c>
      <c r="W4982">
        <v>4400.25</v>
      </c>
    </row>
    <row r="4983" spans="21:23">
      <c r="U4983" s="693">
        <f t="shared" si="77"/>
        <v>44774</v>
      </c>
      <c r="V4983" s="698">
        <v>44794</v>
      </c>
      <c r="W4983">
        <v>4400.25</v>
      </c>
    </row>
    <row r="4984" spans="21:23">
      <c r="U4984" s="693">
        <f t="shared" si="77"/>
        <v>44774</v>
      </c>
      <c r="V4984" s="698">
        <v>44795</v>
      </c>
      <c r="W4984">
        <v>4400.25</v>
      </c>
    </row>
    <row r="4985" spans="21:23">
      <c r="U4985" s="693">
        <f t="shared" si="77"/>
        <v>44774</v>
      </c>
      <c r="V4985" s="698">
        <v>44796</v>
      </c>
      <c r="W4985">
        <v>4399.16</v>
      </c>
    </row>
    <row r="4986" spans="21:23">
      <c r="U4986" s="693">
        <f t="shared" si="77"/>
        <v>44774</v>
      </c>
      <c r="V4986" s="698">
        <v>44797</v>
      </c>
      <c r="W4986">
        <v>4374.45</v>
      </c>
    </row>
    <row r="4987" spans="21:23">
      <c r="U4987" s="693">
        <f t="shared" si="77"/>
        <v>44774</v>
      </c>
      <c r="V4987" s="698">
        <v>44798</v>
      </c>
      <c r="W4987">
        <v>4380.1899999999996</v>
      </c>
    </row>
    <row r="4988" spans="21:23">
      <c r="U4988" s="693">
        <f t="shared" si="77"/>
        <v>44774</v>
      </c>
      <c r="V4988" s="698">
        <v>44799</v>
      </c>
      <c r="W4988">
        <v>4407.95</v>
      </c>
    </row>
    <row r="4989" spans="21:23">
      <c r="U4989" s="693">
        <f t="shared" si="77"/>
        <v>44774</v>
      </c>
      <c r="V4989" s="698">
        <v>44800</v>
      </c>
      <c r="W4989">
        <v>4388.0200000000004</v>
      </c>
    </row>
    <row r="4990" spans="21:23">
      <c r="U4990" s="693">
        <f t="shared" si="77"/>
        <v>44774</v>
      </c>
      <c r="V4990" s="698">
        <v>44801</v>
      </c>
      <c r="W4990">
        <v>4388.0200000000004</v>
      </c>
    </row>
    <row r="4991" spans="21:23">
      <c r="U4991" s="693">
        <f t="shared" si="77"/>
        <v>44774</v>
      </c>
      <c r="V4991" s="698">
        <v>44802</v>
      </c>
      <c r="W4991">
        <v>4388.0200000000004</v>
      </c>
    </row>
    <row r="4992" spans="21:23">
      <c r="U4992" s="693">
        <f t="shared" si="77"/>
        <v>44774</v>
      </c>
      <c r="V4992" s="698">
        <v>44803</v>
      </c>
      <c r="W4992">
        <v>4386.13</v>
      </c>
    </row>
    <row r="4993" spans="21:23">
      <c r="U4993" s="693">
        <f t="shared" si="77"/>
        <v>44774</v>
      </c>
      <c r="V4993" s="698">
        <v>44804</v>
      </c>
      <c r="W4993">
        <v>4400.16</v>
      </c>
    </row>
    <row r="4994" spans="21:23">
      <c r="U4994" s="693">
        <f t="shared" si="77"/>
        <v>44805</v>
      </c>
      <c r="V4994" s="698">
        <v>44805</v>
      </c>
      <c r="W4994">
        <v>4422.7700000000004</v>
      </c>
    </row>
    <row r="4995" spans="21:23">
      <c r="U4995" s="693">
        <f t="shared" ref="U4995:U5058" si="78">+DATE(YEAR(V4995),MONTH(V4995),1)</f>
        <v>44805</v>
      </c>
      <c r="V4995" s="698">
        <v>44806</v>
      </c>
      <c r="W4995">
        <v>4467.03</v>
      </c>
    </row>
    <row r="4996" spans="21:23">
      <c r="U4996" s="693">
        <f t="shared" si="78"/>
        <v>44805</v>
      </c>
      <c r="V4996" s="698">
        <v>44807</v>
      </c>
      <c r="W4996">
        <v>4466.7299999999996</v>
      </c>
    </row>
    <row r="4997" spans="21:23">
      <c r="U4997" s="693">
        <f t="shared" si="78"/>
        <v>44805</v>
      </c>
      <c r="V4997" s="698">
        <v>44808</v>
      </c>
      <c r="W4997">
        <v>4466.7299999999996</v>
      </c>
    </row>
    <row r="4998" spans="21:23">
      <c r="U4998" s="693">
        <f t="shared" si="78"/>
        <v>44805</v>
      </c>
      <c r="V4998" s="698">
        <v>44809</v>
      </c>
      <c r="W4998">
        <v>4466.7299999999996</v>
      </c>
    </row>
    <row r="4999" spans="21:23">
      <c r="U4999" s="693">
        <f t="shared" si="78"/>
        <v>44805</v>
      </c>
      <c r="V4999" s="698">
        <v>44810</v>
      </c>
      <c r="W4999">
        <v>4466.7299999999996</v>
      </c>
    </row>
    <row r="5000" spans="21:23">
      <c r="U5000" s="693">
        <f t="shared" si="78"/>
        <v>44805</v>
      </c>
      <c r="V5000" s="698">
        <v>44811</v>
      </c>
      <c r="W5000">
        <v>4480.1000000000004</v>
      </c>
    </row>
    <row r="5001" spans="21:23">
      <c r="U5001" s="693">
        <f t="shared" si="78"/>
        <v>44805</v>
      </c>
      <c r="V5001" s="698">
        <v>44812</v>
      </c>
      <c r="W5001">
        <v>4446.3599999999997</v>
      </c>
    </row>
    <row r="5002" spans="21:23">
      <c r="U5002" s="693">
        <f t="shared" si="78"/>
        <v>44805</v>
      </c>
      <c r="V5002" s="698">
        <v>44813</v>
      </c>
      <c r="W5002">
        <v>4396.6899999999996</v>
      </c>
    </row>
    <row r="5003" spans="21:23">
      <c r="U5003" s="693">
        <f t="shared" si="78"/>
        <v>44805</v>
      </c>
      <c r="V5003" s="698">
        <v>44814</v>
      </c>
      <c r="W5003">
        <v>4365.32</v>
      </c>
    </row>
    <row r="5004" spans="21:23">
      <c r="U5004" s="693">
        <f t="shared" si="78"/>
        <v>44805</v>
      </c>
      <c r="V5004" s="698">
        <v>44815</v>
      </c>
      <c r="W5004">
        <v>4365.32</v>
      </c>
    </row>
    <row r="5005" spans="21:23">
      <c r="U5005" s="693">
        <f t="shared" si="78"/>
        <v>44805</v>
      </c>
      <c r="V5005" s="698">
        <v>44816</v>
      </c>
      <c r="W5005">
        <v>4365.32</v>
      </c>
    </row>
    <row r="5006" spans="21:23">
      <c r="U5006" s="693">
        <f t="shared" si="78"/>
        <v>44805</v>
      </c>
      <c r="V5006" s="698">
        <v>44817</v>
      </c>
      <c r="W5006">
        <v>4346.91</v>
      </c>
    </row>
    <row r="5007" spans="21:23">
      <c r="U5007" s="693">
        <f t="shared" si="78"/>
        <v>44805</v>
      </c>
      <c r="V5007" s="698">
        <v>44818</v>
      </c>
      <c r="W5007">
        <v>4413.8900000000003</v>
      </c>
    </row>
    <row r="5008" spans="21:23">
      <c r="U5008" s="693">
        <f t="shared" si="78"/>
        <v>44805</v>
      </c>
      <c r="V5008" s="698">
        <v>44819</v>
      </c>
      <c r="W5008">
        <v>4389.8</v>
      </c>
    </row>
    <row r="5009" spans="21:23">
      <c r="U5009" s="693">
        <f t="shared" si="78"/>
        <v>44805</v>
      </c>
      <c r="V5009" s="698">
        <v>44820</v>
      </c>
      <c r="W5009">
        <v>4404.6400000000003</v>
      </c>
    </row>
    <row r="5010" spans="21:23">
      <c r="U5010" s="693">
        <f t="shared" si="78"/>
        <v>44805</v>
      </c>
      <c r="V5010" s="698">
        <v>44821</v>
      </c>
      <c r="W5010">
        <v>4435.84</v>
      </c>
    </row>
    <row r="5011" spans="21:23">
      <c r="U5011" s="693">
        <f t="shared" si="78"/>
        <v>44805</v>
      </c>
      <c r="V5011" s="698">
        <v>44822</v>
      </c>
      <c r="W5011">
        <v>4435.84</v>
      </c>
    </row>
    <row r="5012" spans="21:23">
      <c r="U5012" s="693">
        <f t="shared" si="78"/>
        <v>44805</v>
      </c>
      <c r="V5012" s="698">
        <v>44823</v>
      </c>
      <c r="W5012">
        <v>4435.84</v>
      </c>
    </row>
    <row r="5013" spans="21:23">
      <c r="U5013" s="693">
        <f t="shared" si="78"/>
        <v>44805</v>
      </c>
      <c r="V5013" s="698">
        <v>44824</v>
      </c>
      <c r="W5013">
        <v>4415.1099999999997</v>
      </c>
    </row>
    <row r="5014" spans="21:23">
      <c r="U5014" s="693">
        <f t="shared" si="78"/>
        <v>44805</v>
      </c>
      <c r="V5014" s="698">
        <v>44825</v>
      </c>
      <c r="W5014">
        <v>4420.38</v>
      </c>
    </row>
    <row r="5015" spans="21:23">
      <c r="U5015" s="693">
        <f t="shared" si="78"/>
        <v>44805</v>
      </c>
      <c r="V5015" s="698">
        <v>44826</v>
      </c>
      <c r="W5015">
        <v>4403.82</v>
      </c>
    </row>
    <row r="5016" spans="21:23">
      <c r="U5016" s="693">
        <f t="shared" si="78"/>
        <v>44805</v>
      </c>
      <c r="V5016" s="698">
        <v>44827</v>
      </c>
      <c r="W5016">
        <v>4379.8</v>
      </c>
    </row>
    <row r="5017" spans="21:23">
      <c r="U5017" s="693">
        <f t="shared" si="78"/>
        <v>44805</v>
      </c>
      <c r="V5017" s="698">
        <v>44828</v>
      </c>
      <c r="W5017">
        <v>4426.47</v>
      </c>
    </row>
    <row r="5018" spans="21:23">
      <c r="U5018" s="693">
        <f t="shared" si="78"/>
        <v>44805</v>
      </c>
      <c r="V5018" s="698">
        <v>44829</v>
      </c>
      <c r="W5018">
        <v>4426.47</v>
      </c>
    </row>
    <row r="5019" spans="21:23">
      <c r="U5019" s="693">
        <f t="shared" si="78"/>
        <v>44805</v>
      </c>
      <c r="V5019" s="698">
        <v>44830</v>
      </c>
      <c r="W5019">
        <v>4426.47</v>
      </c>
    </row>
    <row r="5020" spans="21:23">
      <c r="U5020" s="693">
        <f t="shared" si="78"/>
        <v>44805</v>
      </c>
      <c r="V5020" s="698">
        <v>44831</v>
      </c>
      <c r="W5020">
        <v>4496.99</v>
      </c>
    </row>
    <row r="5021" spans="21:23">
      <c r="U5021" s="693">
        <f t="shared" si="78"/>
        <v>44805</v>
      </c>
      <c r="V5021" s="698">
        <v>44832</v>
      </c>
      <c r="W5021">
        <v>4556.42</v>
      </c>
    </row>
    <row r="5022" spans="21:23">
      <c r="U5022" s="693">
        <f t="shared" si="78"/>
        <v>44805</v>
      </c>
      <c r="V5022" s="698">
        <v>44833</v>
      </c>
      <c r="W5022">
        <v>4486.9399999999996</v>
      </c>
    </row>
    <row r="5023" spans="21:23">
      <c r="U5023" s="693">
        <f t="shared" si="78"/>
        <v>44805</v>
      </c>
      <c r="V5023" s="698">
        <v>44834</v>
      </c>
      <c r="W5023">
        <v>4532.07</v>
      </c>
    </row>
    <row r="5024" spans="21:23">
      <c r="U5024" s="693">
        <f t="shared" si="78"/>
        <v>44835</v>
      </c>
      <c r="V5024" s="698">
        <v>44835</v>
      </c>
      <c r="W5024">
        <v>4590.54</v>
      </c>
    </row>
    <row r="5025" spans="21:23">
      <c r="U5025" s="693">
        <f t="shared" si="78"/>
        <v>44835</v>
      </c>
      <c r="V5025" s="698">
        <v>44836</v>
      </c>
      <c r="W5025">
        <v>4590.54</v>
      </c>
    </row>
    <row r="5026" spans="21:23">
      <c r="U5026" s="693">
        <f t="shared" si="78"/>
        <v>44835</v>
      </c>
      <c r="V5026" s="698">
        <v>44837</v>
      </c>
      <c r="W5026">
        <v>4590.54</v>
      </c>
    </row>
    <row r="5027" spans="21:23">
      <c r="U5027" s="693">
        <f t="shared" si="78"/>
        <v>44835</v>
      </c>
      <c r="V5027" s="698">
        <v>44838</v>
      </c>
      <c r="W5027">
        <v>4545.66</v>
      </c>
    </row>
    <row r="5028" spans="21:23">
      <c r="U5028" s="693">
        <f t="shared" si="78"/>
        <v>44835</v>
      </c>
      <c r="V5028" s="698">
        <v>44839</v>
      </c>
      <c r="W5028">
        <v>4484.74</v>
      </c>
    </row>
    <row r="5029" spans="21:23">
      <c r="U5029" s="693">
        <f t="shared" si="78"/>
        <v>44835</v>
      </c>
      <c r="V5029" s="698">
        <v>44840</v>
      </c>
      <c r="W5029">
        <v>4548.8900000000003</v>
      </c>
    </row>
    <row r="5030" spans="21:23">
      <c r="U5030" s="693">
        <f t="shared" si="78"/>
        <v>44835</v>
      </c>
      <c r="V5030" s="698">
        <v>44841</v>
      </c>
      <c r="W5030">
        <v>4627.6099999999997</v>
      </c>
    </row>
    <row r="5031" spans="21:23">
      <c r="U5031" s="693">
        <f t="shared" si="78"/>
        <v>44835</v>
      </c>
      <c r="V5031" s="698">
        <v>44842</v>
      </c>
      <c r="W5031">
        <v>4605.29</v>
      </c>
    </row>
    <row r="5032" spans="21:23">
      <c r="U5032" s="693">
        <f t="shared" si="78"/>
        <v>44835</v>
      </c>
      <c r="V5032" s="698">
        <v>44843</v>
      </c>
      <c r="W5032">
        <v>4605.29</v>
      </c>
    </row>
    <row r="5033" spans="21:23">
      <c r="U5033" s="693">
        <f t="shared" si="78"/>
        <v>44835</v>
      </c>
      <c r="V5033" s="698">
        <v>44844</v>
      </c>
      <c r="W5033">
        <v>4605.29</v>
      </c>
    </row>
    <row r="5034" spans="21:23">
      <c r="U5034" s="693">
        <f t="shared" si="78"/>
        <v>44835</v>
      </c>
      <c r="V5034" s="698">
        <v>44845</v>
      </c>
      <c r="W5034">
        <v>4605.29</v>
      </c>
    </row>
    <row r="5035" spans="21:23">
      <c r="U5035" s="693">
        <f t="shared" si="78"/>
        <v>44835</v>
      </c>
      <c r="V5035" s="698">
        <v>44846</v>
      </c>
      <c r="W5035">
        <v>4611.88</v>
      </c>
    </row>
    <row r="5036" spans="21:23">
      <c r="U5036" s="693">
        <f t="shared" si="78"/>
        <v>44835</v>
      </c>
      <c r="V5036" s="698">
        <v>44847</v>
      </c>
      <c r="W5036">
        <v>4611.18</v>
      </c>
    </row>
    <row r="5037" spans="21:23">
      <c r="U5037" s="693">
        <f t="shared" si="78"/>
        <v>44835</v>
      </c>
      <c r="V5037" s="698">
        <v>44848</v>
      </c>
      <c r="W5037">
        <v>4619.78</v>
      </c>
    </row>
    <row r="5038" spans="21:23">
      <c r="U5038" s="693">
        <f t="shared" si="78"/>
        <v>44835</v>
      </c>
      <c r="V5038" s="698">
        <v>44849</v>
      </c>
      <c r="W5038">
        <v>4636.83</v>
      </c>
    </row>
    <row r="5039" spans="21:23">
      <c r="U5039" s="693">
        <f t="shared" si="78"/>
        <v>44835</v>
      </c>
      <c r="V5039" s="698">
        <v>44850</v>
      </c>
      <c r="W5039">
        <v>4636.83</v>
      </c>
    </row>
    <row r="5040" spans="21:23">
      <c r="U5040" s="693">
        <f t="shared" si="78"/>
        <v>44835</v>
      </c>
      <c r="V5040" s="698">
        <v>44851</v>
      </c>
      <c r="W5040">
        <v>4636.83</v>
      </c>
    </row>
    <row r="5041" spans="21:23">
      <c r="U5041" s="693">
        <f t="shared" si="78"/>
        <v>44835</v>
      </c>
      <c r="V5041" s="698">
        <v>44852</v>
      </c>
      <c r="W5041">
        <v>4636.83</v>
      </c>
    </row>
    <row r="5042" spans="21:23">
      <c r="U5042" s="693">
        <f t="shared" si="78"/>
        <v>44835</v>
      </c>
      <c r="V5042" s="698">
        <v>44853</v>
      </c>
      <c r="W5042">
        <v>4744.04</v>
      </c>
    </row>
    <row r="5043" spans="21:23">
      <c r="U5043" s="693">
        <f t="shared" si="78"/>
        <v>44835</v>
      </c>
      <c r="V5043" s="698">
        <v>44854</v>
      </c>
      <c r="W5043">
        <v>4815.09</v>
      </c>
    </row>
    <row r="5044" spans="21:23">
      <c r="U5044" s="693">
        <f t="shared" si="78"/>
        <v>44835</v>
      </c>
      <c r="V5044" s="698">
        <v>44855</v>
      </c>
      <c r="W5044">
        <v>4885.5</v>
      </c>
    </row>
    <row r="5045" spans="21:23">
      <c r="U5045" s="693">
        <f t="shared" si="78"/>
        <v>44835</v>
      </c>
      <c r="V5045" s="698">
        <v>44856</v>
      </c>
      <c r="W5045">
        <v>4913.24</v>
      </c>
    </row>
    <row r="5046" spans="21:23">
      <c r="U5046" s="693">
        <f t="shared" si="78"/>
        <v>44835</v>
      </c>
      <c r="V5046" s="698">
        <v>44857</v>
      </c>
      <c r="W5046">
        <v>4913.24</v>
      </c>
    </row>
    <row r="5047" spans="21:23">
      <c r="U5047" s="693">
        <f t="shared" si="78"/>
        <v>44835</v>
      </c>
      <c r="V5047" s="698">
        <v>44858</v>
      </c>
      <c r="W5047">
        <v>4913.24</v>
      </c>
    </row>
    <row r="5048" spans="21:23">
      <c r="U5048" s="693">
        <f t="shared" si="78"/>
        <v>44835</v>
      </c>
      <c r="V5048" s="698">
        <v>44859</v>
      </c>
      <c r="W5048">
        <v>4968.9399999999996</v>
      </c>
    </row>
    <row r="5049" spans="21:23">
      <c r="U5049" s="693">
        <f t="shared" si="78"/>
        <v>44835</v>
      </c>
      <c r="V5049" s="698">
        <v>44860</v>
      </c>
      <c r="W5049">
        <v>4948.1400000000003</v>
      </c>
    </row>
    <row r="5050" spans="21:23">
      <c r="U5050" s="693">
        <f t="shared" si="78"/>
        <v>44835</v>
      </c>
      <c r="V5050" s="698">
        <v>44861</v>
      </c>
      <c r="W5050">
        <v>4895.29</v>
      </c>
    </row>
    <row r="5051" spans="21:23">
      <c r="U5051" s="693">
        <f t="shared" si="78"/>
        <v>44835</v>
      </c>
      <c r="V5051" s="698">
        <v>44862</v>
      </c>
      <c r="W5051">
        <v>4821.92</v>
      </c>
    </row>
    <row r="5052" spans="21:23">
      <c r="U5052" s="693">
        <f t="shared" si="78"/>
        <v>44835</v>
      </c>
      <c r="V5052" s="698">
        <v>44863</v>
      </c>
      <c r="W5052">
        <v>4819.42</v>
      </c>
    </row>
    <row r="5053" spans="21:23">
      <c r="U5053" s="693">
        <f t="shared" si="78"/>
        <v>44835</v>
      </c>
      <c r="V5053" s="698">
        <v>44864</v>
      </c>
      <c r="W5053">
        <v>4819.42</v>
      </c>
    </row>
    <row r="5054" spans="21:23">
      <c r="U5054" s="693">
        <f t="shared" si="78"/>
        <v>44835</v>
      </c>
      <c r="V5054" s="698">
        <v>44865</v>
      </c>
      <c r="W5054">
        <v>4819.42</v>
      </c>
    </row>
    <row r="5055" spans="21:23">
      <c r="U5055" s="693">
        <f t="shared" si="78"/>
        <v>44866</v>
      </c>
      <c r="V5055" s="698">
        <v>44866</v>
      </c>
      <c r="W5055">
        <v>4898.74</v>
      </c>
    </row>
    <row r="5056" spans="21:23">
      <c r="U5056" s="693">
        <f t="shared" si="78"/>
        <v>44866</v>
      </c>
      <c r="V5056" s="698">
        <v>44867</v>
      </c>
      <c r="W5056">
        <v>4975.58</v>
      </c>
    </row>
    <row r="5057" spans="21:23">
      <c r="U5057" s="693">
        <f t="shared" si="78"/>
        <v>44866</v>
      </c>
      <c r="V5057" s="698">
        <v>44868</v>
      </c>
      <c r="W5057">
        <v>5015.84</v>
      </c>
    </row>
    <row r="5058" spans="21:23">
      <c r="U5058" s="693">
        <f t="shared" si="78"/>
        <v>44866</v>
      </c>
      <c r="V5058" s="698">
        <v>44869</v>
      </c>
      <c r="W5058">
        <v>5058.0200000000004</v>
      </c>
    </row>
    <row r="5059" spans="21:23">
      <c r="U5059" s="693">
        <f t="shared" ref="U5059:U5122" si="79">+DATE(YEAR(V5059),MONTH(V5059),1)</f>
        <v>44866</v>
      </c>
      <c r="V5059" s="698">
        <v>44870</v>
      </c>
      <c r="W5059">
        <v>5061.21</v>
      </c>
    </row>
    <row r="5060" spans="21:23">
      <c r="U5060" s="693">
        <f t="shared" si="79"/>
        <v>44866</v>
      </c>
      <c r="V5060" s="698">
        <v>44871</v>
      </c>
      <c r="W5060">
        <v>5061.21</v>
      </c>
    </row>
    <row r="5061" spans="21:23">
      <c r="U5061" s="693">
        <f t="shared" si="79"/>
        <v>44866</v>
      </c>
      <c r="V5061" s="698">
        <v>44872</v>
      </c>
      <c r="W5061">
        <v>5061.21</v>
      </c>
    </row>
    <row r="5062" spans="21:23">
      <c r="U5062" s="693">
        <f t="shared" si="79"/>
        <v>44866</v>
      </c>
      <c r="V5062" s="698">
        <v>44873</v>
      </c>
      <c r="W5062">
        <v>5061.21</v>
      </c>
    </row>
    <row r="5063" spans="21:23">
      <c r="U5063" s="693">
        <f t="shared" si="79"/>
        <v>44866</v>
      </c>
      <c r="V5063" s="698">
        <v>44874</v>
      </c>
      <c r="W5063">
        <v>5013.2</v>
      </c>
    </row>
    <row r="5064" spans="21:23">
      <c r="U5064" s="693">
        <f t="shared" si="79"/>
        <v>44866</v>
      </c>
      <c r="V5064" s="698">
        <v>44875</v>
      </c>
      <c r="W5064">
        <v>4914.71</v>
      </c>
    </row>
    <row r="5065" spans="21:23">
      <c r="U5065" s="693">
        <f t="shared" si="79"/>
        <v>44866</v>
      </c>
      <c r="V5065" s="698">
        <v>44876</v>
      </c>
      <c r="W5065">
        <v>4806.07</v>
      </c>
    </row>
    <row r="5066" spans="21:23">
      <c r="U5066" s="693">
        <f t="shared" si="79"/>
        <v>44866</v>
      </c>
      <c r="V5066" s="698">
        <v>44877</v>
      </c>
      <c r="W5066">
        <v>4806.07</v>
      </c>
    </row>
    <row r="5067" spans="21:23">
      <c r="U5067" s="693">
        <f t="shared" si="79"/>
        <v>44866</v>
      </c>
      <c r="V5067" s="698">
        <v>44878</v>
      </c>
      <c r="W5067">
        <v>4806.07</v>
      </c>
    </row>
    <row r="5068" spans="21:23">
      <c r="U5068" s="693">
        <f t="shared" si="79"/>
        <v>44866</v>
      </c>
      <c r="V5068" s="698">
        <v>44879</v>
      </c>
      <c r="W5068">
        <v>4806.07</v>
      </c>
    </row>
    <row r="5069" spans="21:23">
      <c r="U5069" s="693">
        <f t="shared" si="79"/>
        <v>44866</v>
      </c>
      <c r="V5069" s="698">
        <v>44880</v>
      </c>
      <c r="W5069">
        <v>4806.07</v>
      </c>
    </row>
    <row r="5070" spans="21:23">
      <c r="U5070" s="693">
        <f t="shared" si="79"/>
        <v>44866</v>
      </c>
      <c r="V5070" s="698">
        <v>44881</v>
      </c>
      <c r="W5070">
        <v>4801.0600000000004</v>
      </c>
    </row>
    <row r="5071" spans="21:23">
      <c r="U5071" s="693">
        <f t="shared" si="79"/>
        <v>44866</v>
      </c>
      <c r="V5071" s="698">
        <v>44882</v>
      </c>
      <c r="W5071">
        <v>4922.7</v>
      </c>
    </row>
    <row r="5072" spans="21:23">
      <c r="U5072" s="693">
        <f t="shared" si="79"/>
        <v>44866</v>
      </c>
      <c r="V5072" s="698">
        <v>44883</v>
      </c>
      <c r="W5072">
        <v>5022.03</v>
      </c>
    </row>
    <row r="5073" spans="21:23">
      <c r="U5073" s="693">
        <f t="shared" si="79"/>
        <v>44866</v>
      </c>
      <c r="V5073" s="698">
        <v>44884</v>
      </c>
      <c r="W5073">
        <v>4994.6099999999997</v>
      </c>
    </row>
    <row r="5074" spans="21:23">
      <c r="U5074" s="693">
        <f t="shared" si="79"/>
        <v>44866</v>
      </c>
      <c r="V5074" s="698">
        <v>44885</v>
      </c>
      <c r="W5074">
        <v>4994.6099999999997</v>
      </c>
    </row>
    <row r="5075" spans="21:23">
      <c r="U5075" s="693">
        <f t="shared" si="79"/>
        <v>44866</v>
      </c>
      <c r="V5075" s="698">
        <v>44886</v>
      </c>
      <c r="W5075">
        <v>4994.6099999999997</v>
      </c>
    </row>
    <row r="5076" spans="21:23">
      <c r="U5076" s="693">
        <f t="shared" si="79"/>
        <v>44866</v>
      </c>
      <c r="V5076" s="698">
        <v>44887</v>
      </c>
      <c r="W5076">
        <v>4958.42</v>
      </c>
    </row>
    <row r="5077" spans="21:23">
      <c r="U5077" s="693">
        <f t="shared" si="79"/>
        <v>44866</v>
      </c>
      <c r="V5077" s="698">
        <v>44888</v>
      </c>
      <c r="W5077">
        <v>4914.34</v>
      </c>
    </row>
    <row r="5078" spans="21:23">
      <c r="U5078" s="693">
        <f t="shared" si="79"/>
        <v>44866</v>
      </c>
      <c r="V5078" s="698">
        <v>44889</v>
      </c>
      <c r="W5078">
        <v>4875.91</v>
      </c>
    </row>
    <row r="5079" spans="21:23">
      <c r="U5079" s="693">
        <f t="shared" si="79"/>
        <v>44866</v>
      </c>
      <c r="V5079" s="698">
        <v>44890</v>
      </c>
      <c r="W5079">
        <v>4875.91</v>
      </c>
    </row>
    <row r="5080" spans="21:23">
      <c r="U5080" s="693">
        <f t="shared" si="79"/>
        <v>44866</v>
      </c>
      <c r="V5080" s="698">
        <v>44891</v>
      </c>
      <c r="W5080">
        <v>4881.41</v>
      </c>
    </row>
    <row r="5081" spans="21:23">
      <c r="U5081" s="693">
        <f t="shared" si="79"/>
        <v>44866</v>
      </c>
      <c r="V5081" s="698">
        <v>44892</v>
      </c>
      <c r="W5081">
        <v>4881.41</v>
      </c>
    </row>
    <row r="5082" spans="21:23">
      <c r="U5082" s="693">
        <f t="shared" si="79"/>
        <v>44866</v>
      </c>
      <c r="V5082" s="698">
        <v>44893</v>
      </c>
      <c r="W5082">
        <v>4881.41</v>
      </c>
    </row>
    <row r="5083" spans="21:23">
      <c r="U5083" s="693">
        <f t="shared" si="79"/>
        <v>44866</v>
      </c>
      <c r="V5083" s="698">
        <v>44894</v>
      </c>
      <c r="W5083">
        <v>4840.6000000000004</v>
      </c>
    </row>
    <row r="5084" spans="21:23">
      <c r="U5084" s="693">
        <f t="shared" si="79"/>
        <v>44866</v>
      </c>
      <c r="V5084" s="698">
        <v>44895</v>
      </c>
      <c r="W5084">
        <v>4809.51</v>
      </c>
    </row>
    <row r="5085" spans="21:23">
      <c r="U5085" s="693">
        <f t="shared" si="79"/>
        <v>44896</v>
      </c>
      <c r="V5085" s="698">
        <v>44896</v>
      </c>
      <c r="W5085">
        <v>4815.59</v>
      </c>
    </row>
    <row r="5086" spans="21:23">
      <c r="U5086" s="693">
        <f t="shared" si="79"/>
        <v>44896</v>
      </c>
      <c r="V5086" s="698">
        <v>44897</v>
      </c>
      <c r="W5086">
        <v>4779.0600000000004</v>
      </c>
    </row>
    <row r="5087" spans="21:23">
      <c r="U5087" s="693">
        <f t="shared" si="79"/>
        <v>44896</v>
      </c>
      <c r="V5087" s="698">
        <v>44898</v>
      </c>
      <c r="W5087">
        <v>4767.1899999999996</v>
      </c>
    </row>
    <row r="5088" spans="21:23">
      <c r="U5088" s="693">
        <f t="shared" si="79"/>
        <v>44896</v>
      </c>
      <c r="V5088" s="698">
        <v>44899</v>
      </c>
      <c r="W5088">
        <v>4767.1899999999996</v>
      </c>
    </row>
    <row r="5089" spans="21:23">
      <c r="U5089" s="693">
        <f t="shared" si="79"/>
        <v>44896</v>
      </c>
      <c r="V5089" s="698">
        <v>44900</v>
      </c>
      <c r="W5089">
        <v>4767.1899999999996</v>
      </c>
    </row>
    <row r="5090" spans="21:23">
      <c r="U5090" s="693">
        <f t="shared" si="79"/>
        <v>44896</v>
      </c>
      <c r="V5090" s="698">
        <v>44901</v>
      </c>
      <c r="W5090">
        <v>4812.37</v>
      </c>
    </row>
    <row r="5091" spans="21:23">
      <c r="U5091" s="693">
        <f t="shared" si="79"/>
        <v>44896</v>
      </c>
      <c r="V5091" s="698">
        <v>44902</v>
      </c>
      <c r="W5091">
        <v>4818.32</v>
      </c>
    </row>
    <row r="5092" spans="21:23">
      <c r="U5092" s="693">
        <f t="shared" si="79"/>
        <v>44896</v>
      </c>
      <c r="V5092" s="698">
        <v>44903</v>
      </c>
      <c r="W5092">
        <v>4825.83</v>
      </c>
    </row>
    <row r="5093" spans="21:23">
      <c r="U5093" s="693">
        <f t="shared" si="79"/>
        <v>44896</v>
      </c>
      <c r="V5093" s="698">
        <v>44904</v>
      </c>
      <c r="W5093">
        <v>4825.83</v>
      </c>
    </row>
    <row r="5094" spans="21:23">
      <c r="U5094" s="693">
        <f t="shared" si="79"/>
        <v>44896</v>
      </c>
      <c r="V5094" s="698">
        <v>44905</v>
      </c>
      <c r="W5094">
        <v>4815.99</v>
      </c>
    </row>
    <row r="5095" spans="21:23">
      <c r="U5095" s="693">
        <f t="shared" si="79"/>
        <v>44896</v>
      </c>
      <c r="V5095" s="698">
        <v>44906</v>
      </c>
      <c r="W5095">
        <v>4815.99</v>
      </c>
    </row>
    <row r="5096" spans="21:23">
      <c r="U5096" s="693">
        <f t="shared" si="79"/>
        <v>44896</v>
      </c>
      <c r="V5096" s="698">
        <v>44907</v>
      </c>
      <c r="W5096">
        <v>4815.99</v>
      </c>
    </row>
    <row r="5097" spans="21:23">
      <c r="U5097" s="693">
        <f t="shared" si="79"/>
        <v>44896</v>
      </c>
      <c r="V5097" s="698">
        <v>44908</v>
      </c>
      <c r="W5097">
        <v>4836.24</v>
      </c>
    </row>
    <row r="5098" spans="21:23">
      <c r="U5098" s="693">
        <f t="shared" si="79"/>
        <v>44896</v>
      </c>
      <c r="V5098" s="698">
        <v>44909</v>
      </c>
      <c r="W5098">
        <v>4791.57</v>
      </c>
    </row>
    <row r="5099" spans="21:23">
      <c r="U5099" s="693">
        <f t="shared" si="79"/>
        <v>44896</v>
      </c>
      <c r="V5099" s="698">
        <v>44910</v>
      </c>
      <c r="W5099">
        <v>4778.28</v>
      </c>
    </row>
    <row r="5100" spans="21:23">
      <c r="U5100" s="693">
        <f t="shared" si="79"/>
        <v>44896</v>
      </c>
      <c r="V5100" s="698">
        <v>44911</v>
      </c>
      <c r="W5100">
        <v>4797.0200000000004</v>
      </c>
    </row>
    <row r="5101" spans="21:23">
      <c r="U5101" s="693">
        <f t="shared" si="79"/>
        <v>44896</v>
      </c>
      <c r="V5101" s="698">
        <v>44912</v>
      </c>
      <c r="W5101">
        <v>4802.4799999999996</v>
      </c>
    </row>
    <row r="5102" spans="21:23">
      <c r="U5102" s="693">
        <f t="shared" si="79"/>
        <v>44896</v>
      </c>
      <c r="V5102" s="698">
        <v>44913</v>
      </c>
      <c r="W5102">
        <v>4802.4799999999996</v>
      </c>
    </row>
    <row r="5103" spans="21:23">
      <c r="U5103" s="693">
        <f t="shared" si="79"/>
        <v>44896</v>
      </c>
      <c r="V5103" s="698">
        <v>44914</v>
      </c>
      <c r="W5103">
        <v>4802.4799999999996</v>
      </c>
    </row>
    <row r="5104" spans="21:23">
      <c r="U5104" s="693">
        <f t="shared" si="79"/>
        <v>44896</v>
      </c>
      <c r="V5104" s="698">
        <v>44915</v>
      </c>
      <c r="W5104">
        <v>4781.28</v>
      </c>
    </row>
    <row r="5105" spans="21:23">
      <c r="U5105" s="693">
        <f t="shared" si="79"/>
        <v>44896</v>
      </c>
      <c r="V5105" s="698">
        <v>44916</v>
      </c>
      <c r="W5105">
        <v>4769.29</v>
      </c>
    </row>
    <row r="5106" spans="21:23">
      <c r="U5106" s="693">
        <f t="shared" si="79"/>
        <v>44896</v>
      </c>
      <c r="V5106" s="698">
        <v>44917</v>
      </c>
      <c r="W5106">
        <v>4761.6400000000003</v>
      </c>
    </row>
    <row r="5107" spans="21:23">
      <c r="U5107" s="693">
        <f t="shared" si="79"/>
        <v>44896</v>
      </c>
      <c r="V5107" s="698">
        <v>44918</v>
      </c>
      <c r="W5107">
        <v>4760.6099999999997</v>
      </c>
    </row>
    <row r="5108" spans="21:23">
      <c r="U5108" s="693">
        <f t="shared" si="79"/>
        <v>44896</v>
      </c>
      <c r="V5108" s="698">
        <v>44919</v>
      </c>
      <c r="W5108">
        <v>4745.04</v>
      </c>
    </row>
    <row r="5109" spans="21:23">
      <c r="U5109" s="693">
        <f t="shared" si="79"/>
        <v>44896</v>
      </c>
      <c r="V5109" s="698">
        <v>44920</v>
      </c>
      <c r="W5109">
        <v>4745.04</v>
      </c>
    </row>
    <row r="5110" spans="21:23">
      <c r="U5110" s="693">
        <f t="shared" si="79"/>
        <v>44896</v>
      </c>
      <c r="V5110" s="698">
        <v>44921</v>
      </c>
      <c r="W5110">
        <v>4745.04</v>
      </c>
    </row>
    <row r="5111" spans="21:23">
      <c r="U5111" s="693">
        <f t="shared" si="79"/>
        <v>44896</v>
      </c>
      <c r="V5111" s="698">
        <v>44922</v>
      </c>
      <c r="W5111">
        <v>4745.04</v>
      </c>
    </row>
    <row r="5112" spans="21:23">
      <c r="U5112" s="693">
        <f t="shared" si="79"/>
        <v>44896</v>
      </c>
      <c r="V5112" s="698">
        <v>44923</v>
      </c>
      <c r="W5112">
        <v>4766.82</v>
      </c>
    </row>
    <row r="5113" spans="21:23">
      <c r="U5113" s="693">
        <f t="shared" si="79"/>
        <v>44896</v>
      </c>
      <c r="V5113" s="698">
        <v>44924</v>
      </c>
      <c r="W5113">
        <v>4765.92</v>
      </c>
    </row>
    <row r="5114" spans="21:23">
      <c r="U5114" s="693">
        <f t="shared" si="79"/>
        <v>44896</v>
      </c>
      <c r="V5114" s="698">
        <v>44925</v>
      </c>
      <c r="W5114">
        <v>4810.2</v>
      </c>
    </row>
    <row r="5115" spans="21:23">
      <c r="U5115" s="693">
        <f t="shared" si="79"/>
        <v>44896</v>
      </c>
      <c r="V5115" s="698">
        <v>44926</v>
      </c>
      <c r="W5115">
        <v>4810.2</v>
      </c>
    </row>
    <row r="5116" spans="21:23">
      <c r="U5116" s="693">
        <f t="shared" si="79"/>
        <v>44927</v>
      </c>
      <c r="V5116" s="698">
        <v>44927</v>
      </c>
      <c r="W5116">
        <v>4810.2</v>
      </c>
    </row>
    <row r="5117" spans="21:23">
      <c r="U5117" s="693">
        <f t="shared" si="79"/>
        <v>44927</v>
      </c>
      <c r="V5117" s="698">
        <v>44928</v>
      </c>
      <c r="W5117">
        <v>4810.2</v>
      </c>
    </row>
    <row r="5118" spans="21:23">
      <c r="U5118" s="693">
        <f t="shared" si="79"/>
        <v>44927</v>
      </c>
      <c r="V5118" s="698">
        <v>44929</v>
      </c>
      <c r="W5118">
        <v>4810.2</v>
      </c>
    </row>
    <row r="5119" spans="21:23">
      <c r="U5119" s="693">
        <f t="shared" si="79"/>
        <v>44927</v>
      </c>
      <c r="V5119" s="698">
        <v>44930</v>
      </c>
      <c r="W5119">
        <v>4842.26</v>
      </c>
    </row>
    <row r="5120" spans="21:23">
      <c r="U5120" s="693">
        <f t="shared" si="79"/>
        <v>44927</v>
      </c>
      <c r="V5120" s="698">
        <v>44931</v>
      </c>
      <c r="W5120">
        <v>4924</v>
      </c>
    </row>
    <row r="5121" spans="21:23">
      <c r="U5121" s="693">
        <f t="shared" si="79"/>
        <v>44927</v>
      </c>
      <c r="V5121" s="698">
        <v>44932</v>
      </c>
      <c r="W5121">
        <v>4989.58</v>
      </c>
    </row>
    <row r="5122" spans="21:23">
      <c r="U5122" s="693">
        <f t="shared" si="79"/>
        <v>44927</v>
      </c>
      <c r="V5122" s="698">
        <v>44933</v>
      </c>
      <c r="W5122">
        <v>4885.66</v>
      </c>
    </row>
    <row r="5123" spans="21:23">
      <c r="U5123" s="693">
        <f t="shared" ref="U5123:U5186" si="80">+DATE(YEAR(V5123),MONTH(V5123),1)</f>
        <v>44927</v>
      </c>
      <c r="V5123" s="698">
        <v>44934</v>
      </c>
      <c r="W5123">
        <v>4885.66</v>
      </c>
    </row>
    <row r="5124" spans="21:23">
      <c r="U5124" s="693">
        <f t="shared" si="80"/>
        <v>44927</v>
      </c>
      <c r="V5124" s="698">
        <v>44935</v>
      </c>
      <c r="W5124">
        <v>4885.66</v>
      </c>
    </row>
    <row r="5125" spans="21:23">
      <c r="U5125" s="693">
        <f t="shared" si="80"/>
        <v>44927</v>
      </c>
      <c r="V5125" s="698">
        <v>44936</v>
      </c>
      <c r="W5125">
        <v>4885.66</v>
      </c>
    </row>
    <row r="5126" spans="21:23">
      <c r="U5126" s="693">
        <f t="shared" si="80"/>
        <v>44927</v>
      </c>
      <c r="V5126" s="698">
        <v>44937</v>
      </c>
      <c r="W5126">
        <v>4807.8500000000004</v>
      </c>
    </row>
    <row r="5127" spans="21:23">
      <c r="U5127" s="693">
        <f t="shared" si="80"/>
        <v>44927</v>
      </c>
      <c r="V5127" s="698">
        <v>44938</v>
      </c>
      <c r="W5127">
        <v>4748.54</v>
      </c>
    </row>
    <row r="5128" spans="21:23">
      <c r="U5128" s="693">
        <f t="shared" si="80"/>
        <v>44927</v>
      </c>
      <c r="V5128" s="698">
        <v>44939</v>
      </c>
      <c r="W5128">
        <v>4692.04</v>
      </c>
    </row>
    <row r="5129" spans="21:23">
      <c r="U5129" s="693">
        <f t="shared" si="80"/>
        <v>44927</v>
      </c>
      <c r="V5129" s="698">
        <v>44940</v>
      </c>
      <c r="W5129">
        <v>4693.99</v>
      </c>
    </row>
    <row r="5130" spans="21:23">
      <c r="U5130" s="693">
        <f t="shared" si="80"/>
        <v>44927</v>
      </c>
      <c r="V5130" s="698">
        <v>44941</v>
      </c>
      <c r="W5130">
        <v>4693.99</v>
      </c>
    </row>
    <row r="5131" spans="21:23">
      <c r="U5131" s="693">
        <f t="shared" si="80"/>
        <v>44927</v>
      </c>
      <c r="V5131" s="698">
        <v>44942</v>
      </c>
      <c r="W5131">
        <v>4693.99</v>
      </c>
    </row>
    <row r="5132" spans="21:23">
      <c r="U5132" s="693">
        <f t="shared" si="80"/>
        <v>44927</v>
      </c>
      <c r="V5132" s="698">
        <v>44943</v>
      </c>
      <c r="W5132">
        <v>4693.99</v>
      </c>
    </row>
    <row r="5133" spans="21:23">
      <c r="U5133" s="693">
        <f t="shared" si="80"/>
        <v>44927</v>
      </c>
      <c r="V5133" s="698">
        <v>44944</v>
      </c>
      <c r="W5133">
        <v>4691.09</v>
      </c>
    </row>
    <row r="5134" spans="21:23">
      <c r="U5134" s="693">
        <f t="shared" si="80"/>
        <v>44927</v>
      </c>
      <c r="V5134" s="698">
        <v>44945</v>
      </c>
      <c r="W5134">
        <v>4702.67</v>
      </c>
    </row>
    <row r="5135" spans="21:23">
      <c r="U5135" s="693">
        <f t="shared" si="80"/>
        <v>44927</v>
      </c>
      <c r="V5135" s="698">
        <v>44946</v>
      </c>
      <c r="W5135">
        <v>4683.8500000000004</v>
      </c>
    </row>
    <row r="5136" spans="21:23">
      <c r="U5136" s="693">
        <f t="shared" si="80"/>
        <v>44927</v>
      </c>
      <c r="V5136" s="698">
        <v>44947</v>
      </c>
      <c r="W5136">
        <v>4631.6400000000003</v>
      </c>
    </row>
    <row r="5137" spans="21:23">
      <c r="U5137" s="693">
        <f t="shared" si="80"/>
        <v>44927</v>
      </c>
      <c r="V5137" s="698">
        <v>44948</v>
      </c>
      <c r="W5137">
        <v>4631.6400000000003</v>
      </c>
    </row>
    <row r="5138" spans="21:23">
      <c r="U5138" s="693">
        <f t="shared" si="80"/>
        <v>44927</v>
      </c>
      <c r="V5138" s="698">
        <v>44949</v>
      </c>
      <c r="W5138">
        <v>4631.6400000000003</v>
      </c>
    </row>
    <row r="5139" spans="21:23">
      <c r="U5139" s="693">
        <f t="shared" si="80"/>
        <v>44927</v>
      </c>
      <c r="V5139" s="698">
        <v>44950</v>
      </c>
      <c r="W5139">
        <v>4551.0200000000004</v>
      </c>
    </row>
    <row r="5140" spans="21:23">
      <c r="U5140" s="693">
        <f t="shared" si="80"/>
        <v>44927</v>
      </c>
      <c r="V5140" s="698">
        <v>44951</v>
      </c>
      <c r="W5140">
        <v>4545.9399999999996</v>
      </c>
    </row>
    <row r="5141" spans="21:23">
      <c r="U5141" s="693">
        <f t="shared" si="80"/>
        <v>44927</v>
      </c>
      <c r="V5141" s="698">
        <v>44952</v>
      </c>
      <c r="W5141">
        <v>4538.91</v>
      </c>
    </row>
    <row r="5142" spans="21:23">
      <c r="U5142" s="693">
        <f t="shared" si="80"/>
        <v>44927</v>
      </c>
      <c r="V5142" s="698">
        <v>44953</v>
      </c>
      <c r="W5142">
        <v>4531.75</v>
      </c>
    </row>
    <row r="5143" spans="21:23">
      <c r="U5143" s="693">
        <f t="shared" si="80"/>
        <v>44927</v>
      </c>
      <c r="V5143" s="698">
        <v>44954</v>
      </c>
      <c r="W5143">
        <v>4548.5</v>
      </c>
    </row>
    <row r="5144" spans="21:23">
      <c r="U5144" s="693">
        <f t="shared" si="80"/>
        <v>44927</v>
      </c>
      <c r="V5144" s="698">
        <v>44955</v>
      </c>
      <c r="W5144">
        <v>4548.5</v>
      </c>
    </row>
    <row r="5145" spans="21:23">
      <c r="U5145" s="693">
        <f t="shared" si="80"/>
        <v>44927</v>
      </c>
      <c r="V5145" s="698">
        <v>44956</v>
      </c>
      <c r="W5145">
        <v>4548.5</v>
      </c>
    </row>
    <row r="5146" spans="21:23">
      <c r="U5146" s="693">
        <f t="shared" si="80"/>
        <v>44927</v>
      </c>
      <c r="V5146" s="698">
        <v>44957</v>
      </c>
      <c r="W5146">
        <v>4632.2</v>
      </c>
    </row>
    <row r="5147" spans="21:23">
      <c r="U5147" s="693">
        <f t="shared" si="80"/>
        <v>44958</v>
      </c>
      <c r="V5147" s="698">
        <v>44958</v>
      </c>
      <c r="W5147">
        <v>4648.7</v>
      </c>
    </row>
    <row r="5148" spans="21:23">
      <c r="U5148" s="693">
        <f t="shared" si="80"/>
        <v>44958</v>
      </c>
      <c r="V5148" s="698">
        <v>44959</v>
      </c>
      <c r="W5148">
        <v>4639.04</v>
      </c>
    </row>
    <row r="5149" spans="21:23">
      <c r="U5149" s="693">
        <f t="shared" si="80"/>
        <v>44958</v>
      </c>
      <c r="V5149" s="698">
        <v>44960</v>
      </c>
      <c r="W5149">
        <v>4584.4399999999996</v>
      </c>
    </row>
    <row r="5150" spans="21:23">
      <c r="U5150" s="693">
        <f t="shared" si="80"/>
        <v>44958</v>
      </c>
      <c r="V5150" s="698">
        <v>44961</v>
      </c>
      <c r="W5150">
        <v>4669.74</v>
      </c>
    </row>
    <row r="5151" spans="21:23">
      <c r="U5151" s="693">
        <f t="shared" si="80"/>
        <v>44958</v>
      </c>
      <c r="V5151" s="698">
        <v>44962</v>
      </c>
      <c r="W5151">
        <v>4669.74</v>
      </c>
    </row>
    <row r="5152" spans="21:23">
      <c r="U5152" s="693">
        <f t="shared" si="80"/>
        <v>44958</v>
      </c>
      <c r="V5152" s="698">
        <v>44963</v>
      </c>
      <c r="W5152">
        <v>4669.74</v>
      </c>
    </row>
    <row r="5153" spans="21:23">
      <c r="U5153" s="693">
        <f t="shared" si="80"/>
        <v>44958</v>
      </c>
      <c r="V5153" s="698">
        <v>44964</v>
      </c>
      <c r="W5153">
        <v>4776.25</v>
      </c>
    </row>
    <row r="5154" spans="21:23">
      <c r="U5154" s="693">
        <f t="shared" si="80"/>
        <v>44958</v>
      </c>
      <c r="V5154" s="698">
        <v>44965</v>
      </c>
      <c r="W5154">
        <v>4775.99</v>
      </c>
    </row>
    <row r="5155" spans="21:23">
      <c r="U5155" s="693">
        <f t="shared" si="80"/>
        <v>44958</v>
      </c>
      <c r="V5155" s="698">
        <v>44966</v>
      </c>
      <c r="W5155">
        <v>4769.8500000000004</v>
      </c>
    </row>
    <row r="5156" spans="21:23">
      <c r="U5156" s="693">
        <f t="shared" si="80"/>
        <v>44958</v>
      </c>
      <c r="V5156" s="698">
        <v>44967</v>
      </c>
      <c r="W5156">
        <v>4742.05</v>
      </c>
    </row>
    <row r="5157" spans="21:23">
      <c r="U5157" s="693">
        <f t="shared" si="80"/>
        <v>44958</v>
      </c>
      <c r="V5157" s="698">
        <v>44968</v>
      </c>
      <c r="W5157">
        <v>4777.7299999999996</v>
      </c>
    </row>
    <row r="5158" spans="21:23">
      <c r="U5158" s="693">
        <f t="shared" si="80"/>
        <v>44958</v>
      </c>
      <c r="V5158" s="698">
        <v>44969</v>
      </c>
      <c r="W5158">
        <v>4777.7299999999996</v>
      </c>
    </row>
    <row r="5159" spans="21:23">
      <c r="U5159" s="693">
        <f t="shared" si="80"/>
        <v>44958</v>
      </c>
      <c r="V5159" s="698">
        <v>44970</v>
      </c>
      <c r="W5159">
        <v>4777.7299999999996</v>
      </c>
    </row>
    <row r="5160" spans="21:23">
      <c r="U5160" s="693">
        <f t="shared" si="80"/>
        <v>44958</v>
      </c>
      <c r="V5160" s="698">
        <v>44971</v>
      </c>
      <c r="W5160">
        <v>4818.62</v>
      </c>
    </row>
    <row r="5161" spans="21:23">
      <c r="U5161" s="693">
        <f t="shared" si="80"/>
        <v>44958</v>
      </c>
      <c r="V5161" s="698">
        <v>44972</v>
      </c>
      <c r="W5161">
        <v>4783.24</v>
      </c>
    </row>
    <row r="5162" spans="21:23">
      <c r="U5162" s="693">
        <f t="shared" si="80"/>
        <v>44958</v>
      </c>
      <c r="V5162" s="698">
        <v>44973</v>
      </c>
      <c r="W5162">
        <v>4878.24</v>
      </c>
    </row>
    <row r="5163" spans="21:23">
      <c r="U5163" s="693">
        <f t="shared" si="80"/>
        <v>44958</v>
      </c>
      <c r="V5163" s="698">
        <v>44974</v>
      </c>
      <c r="W5163">
        <v>4966.33</v>
      </c>
    </row>
    <row r="5164" spans="21:23">
      <c r="U5164" s="693">
        <f t="shared" si="80"/>
        <v>44958</v>
      </c>
      <c r="V5164" s="698">
        <v>44975</v>
      </c>
      <c r="W5164">
        <v>4918.9399999999996</v>
      </c>
    </row>
    <row r="5165" spans="21:23">
      <c r="U5165" s="693">
        <f t="shared" si="80"/>
        <v>44958</v>
      </c>
      <c r="V5165" s="698">
        <v>44976</v>
      </c>
      <c r="W5165">
        <v>4918.9399999999996</v>
      </c>
    </row>
    <row r="5166" spans="21:23">
      <c r="U5166" s="693">
        <f t="shared" si="80"/>
        <v>44958</v>
      </c>
      <c r="V5166" s="698">
        <v>44977</v>
      </c>
      <c r="W5166">
        <v>4918.9399999999996</v>
      </c>
    </row>
    <row r="5167" spans="21:23">
      <c r="U5167" s="693">
        <f t="shared" si="80"/>
        <v>44958</v>
      </c>
      <c r="V5167" s="698">
        <v>44978</v>
      </c>
      <c r="W5167">
        <v>4918.9399999999996</v>
      </c>
    </row>
    <row r="5168" spans="21:23">
      <c r="U5168" s="693">
        <f t="shared" si="80"/>
        <v>44958</v>
      </c>
      <c r="V5168" s="698">
        <v>44979</v>
      </c>
      <c r="W5168">
        <v>4950.33</v>
      </c>
    </row>
    <row r="5169" spans="21:23">
      <c r="U5169" s="693">
        <f t="shared" si="80"/>
        <v>44958</v>
      </c>
      <c r="V5169" s="698">
        <v>44980</v>
      </c>
      <c r="W5169">
        <v>4924.91</v>
      </c>
    </row>
    <row r="5170" spans="21:23">
      <c r="U5170" s="693">
        <f t="shared" si="80"/>
        <v>44958</v>
      </c>
      <c r="V5170" s="698">
        <v>44981</v>
      </c>
      <c r="W5170">
        <v>4853.8999999999996</v>
      </c>
    </row>
    <row r="5171" spans="21:23">
      <c r="U5171" s="693">
        <f t="shared" si="80"/>
        <v>44958</v>
      </c>
      <c r="V5171" s="698">
        <v>44982</v>
      </c>
      <c r="W5171">
        <v>4849.6499999999996</v>
      </c>
    </row>
    <row r="5172" spans="21:23">
      <c r="U5172" s="693">
        <f t="shared" si="80"/>
        <v>44958</v>
      </c>
      <c r="V5172" s="698">
        <v>44983</v>
      </c>
      <c r="W5172">
        <v>4849.6499999999996</v>
      </c>
    </row>
    <row r="5173" spans="21:23">
      <c r="U5173" s="693">
        <f t="shared" si="80"/>
        <v>44958</v>
      </c>
      <c r="V5173" s="698">
        <v>44984</v>
      </c>
      <c r="W5173">
        <v>4849.6499999999996</v>
      </c>
    </row>
    <row r="5174" spans="21:23">
      <c r="U5174" s="693">
        <f t="shared" si="80"/>
        <v>44958</v>
      </c>
      <c r="V5174" s="698">
        <v>44985</v>
      </c>
      <c r="W5174">
        <v>4808.1400000000003</v>
      </c>
    </row>
    <row r="5175" spans="21:23">
      <c r="U5175" s="693">
        <f t="shared" si="80"/>
        <v>44986</v>
      </c>
      <c r="V5175" s="698">
        <v>44986</v>
      </c>
      <c r="W5175">
        <v>4814.1099999999997</v>
      </c>
    </row>
    <row r="5176" spans="21:23">
      <c r="U5176" s="693">
        <f t="shared" si="80"/>
        <v>44986</v>
      </c>
      <c r="V5176" s="698">
        <v>44987</v>
      </c>
      <c r="W5176">
        <v>4848.78</v>
      </c>
    </row>
    <row r="5177" spans="21:23">
      <c r="U5177" s="693">
        <f t="shared" si="80"/>
        <v>44986</v>
      </c>
      <c r="V5177" s="698">
        <v>44988</v>
      </c>
      <c r="W5177">
        <v>4855.83</v>
      </c>
    </row>
    <row r="5178" spans="21:23">
      <c r="U5178" s="693">
        <f t="shared" si="80"/>
        <v>44986</v>
      </c>
      <c r="V5178" s="698">
        <v>44989</v>
      </c>
      <c r="W5178">
        <v>4780.8900000000003</v>
      </c>
    </row>
    <row r="5179" spans="21:23">
      <c r="U5179" s="693">
        <f t="shared" si="80"/>
        <v>44986</v>
      </c>
      <c r="V5179" s="698">
        <v>44990</v>
      </c>
      <c r="W5179">
        <v>4780.8900000000003</v>
      </c>
    </row>
    <row r="5180" spans="21:23">
      <c r="U5180" s="693">
        <f t="shared" si="80"/>
        <v>44986</v>
      </c>
      <c r="V5180" s="698">
        <v>44991</v>
      </c>
      <c r="W5180">
        <v>4780.8900000000003</v>
      </c>
    </row>
    <row r="5181" spans="21:23">
      <c r="U5181" s="693">
        <f t="shared" si="80"/>
        <v>44986</v>
      </c>
      <c r="V5181" s="698">
        <v>44992</v>
      </c>
      <c r="W5181">
        <v>4734.42</v>
      </c>
    </row>
    <row r="5182" spans="21:23">
      <c r="U5182" s="693">
        <f t="shared" si="80"/>
        <v>44986</v>
      </c>
      <c r="V5182" s="698">
        <v>44993</v>
      </c>
      <c r="W5182">
        <v>4744.95</v>
      </c>
    </row>
    <row r="5183" spans="21:23">
      <c r="U5183" s="693">
        <f t="shared" si="80"/>
        <v>44986</v>
      </c>
      <c r="V5183" s="698">
        <v>44994</v>
      </c>
      <c r="W5183">
        <v>4755.59</v>
      </c>
    </row>
    <row r="5184" spans="21:23">
      <c r="U5184" s="693">
        <f t="shared" si="80"/>
        <v>44986</v>
      </c>
      <c r="V5184" s="698">
        <v>44995</v>
      </c>
      <c r="W5184">
        <v>4748.6099999999997</v>
      </c>
    </row>
    <row r="5185" spans="21:23">
      <c r="U5185" s="693">
        <f t="shared" si="80"/>
        <v>44986</v>
      </c>
      <c r="V5185" s="698">
        <v>44996</v>
      </c>
      <c r="W5185">
        <v>4748.1400000000003</v>
      </c>
    </row>
    <row r="5186" spans="21:23">
      <c r="U5186" s="693">
        <f t="shared" si="80"/>
        <v>44986</v>
      </c>
      <c r="V5186" s="698">
        <v>44997</v>
      </c>
      <c r="W5186">
        <v>4748.1400000000003</v>
      </c>
    </row>
    <row r="5187" spans="21:23">
      <c r="U5187" s="693">
        <f t="shared" ref="U5187:U5250" si="81">+DATE(YEAR(V5187),MONTH(V5187),1)</f>
        <v>44986</v>
      </c>
      <c r="V5187" s="698">
        <v>44998</v>
      </c>
      <c r="W5187">
        <v>4748.1400000000003</v>
      </c>
    </row>
    <row r="5188" spans="21:23">
      <c r="U5188" s="693">
        <f t="shared" si="81"/>
        <v>44986</v>
      </c>
      <c r="V5188" s="698">
        <v>44999</v>
      </c>
      <c r="W5188">
        <v>4769.76</v>
      </c>
    </row>
    <row r="5189" spans="21:23">
      <c r="U5189" s="693">
        <f t="shared" si="81"/>
        <v>44986</v>
      </c>
      <c r="V5189" s="698">
        <v>45000</v>
      </c>
      <c r="W5189">
        <v>4736.03</v>
      </c>
    </row>
    <row r="5190" spans="21:23">
      <c r="U5190" s="693">
        <f t="shared" si="81"/>
        <v>44986</v>
      </c>
      <c r="V5190" s="698">
        <v>45001</v>
      </c>
      <c r="W5190">
        <v>4835.51</v>
      </c>
    </row>
    <row r="5191" spans="21:23">
      <c r="U5191" s="693">
        <f t="shared" si="81"/>
        <v>44986</v>
      </c>
      <c r="V5191" s="698">
        <v>45002</v>
      </c>
      <c r="W5191">
        <v>4866.5</v>
      </c>
    </row>
    <row r="5192" spans="21:23">
      <c r="U5192" s="693">
        <f t="shared" si="81"/>
        <v>44986</v>
      </c>
      <c r="V5192" s="698">
        <v>45003</v>
      </c>
      <c r="W5192">
        <v>4824.25</v>
      </c>
    </row>
    <row r="5193" spans="21:23">
      <c r="U5193" s="693">
        <f t="shared" si="81"/>
        <v>44986</v>
      </c>
      <c r="V5193" s="698">
        <v>45004</v>
      </c>
      <c r="W5193">
        <v>4824.25</v>
      </c>
    </row>
    <row r="5194" spans="21:23">
      <c r="U5194" s="693">
        <f t="shared" si="81"/>
        <v>44986</v>
      </c>
      <c r="V5194" s="698">
        <v>45005</v>
      </c>
      <c r="W5194">
        <v>4824.25</v>
      </c>
    </row>
    <row r="5195" spans="21:23">
      <c r="U5195" s="693">
        <f t="shared" si="81"/>
        <v>44986</v>
      </c>
      <c r="V5195" s="698">
        <v>45006</v>
      </c>
      <c r="W5195">
        <v>4824.25</v>
      </c>
    </row>
    <row r="5196" spans="21:23">
      <c r="U5196" s="693">
        <f t="shared" si="81"/>
        <v>44986</v>
      </c>
      <c r="V5196" s="698">
        <v>45007</v>
      </c>
      <c r="W5196">
        <v>4804.29</v>
      </c>
    </row>
    <row r="5197" spans="21:23">
      <c r="U5197" s="693">
        <f t="shared" si="81"/>
        <v>44986</v>
      </c>
      <c r="V5197" s="698">
        <v>45008</v>
      </c>
      <c r="W5197">
        <v>4776.09</v>
      </c>
    </row>
    <row r="5198" spans="21:23">
      <c r="U5198" s="693">
        <f t="shared" si="81"/>
        <v>44986</v>
      </c>
      <c r="V5198" s="698">
        <v>45009</v>
      </c>
      <c r="W5198">
        <v>4755.12</v>
      </c>
    </row>
    <row r="5199" spans="21:23">
      <c r="U5199" s="693">
        <f t="shared" si="81"/>
        <v>44986</v>
      </c>
      <c r="V5199" s="698">
        <v>45010</v>
      </c>
      <c r="W5199">
        <v>4741.76</v>
      </c>
    </row>
    <row r="5200" spans="21:23">
      <c r="U5200" s="693">
        <f t="shared" si="81"/>
        <v>44986</v>
      </c>
      <c r="V5200" s="698">
        <v>45011</v>
      </c>
      <c r="W5200">
        <v>4741.76</v>
      </c>
    </row>
    <row r="5201" spans="21:23">
      <c r="U5201" s="693">
        <f t="shared" si="81"/>
        <v>44986</v>
      </c>
      <c r="V5201" s="698">
        <v>45012</v>
      </c>
      <c r="W5201">
        <v>4741.76</v>
      </c>
    </row>
    <row r="5202" spans="21:23">
      <c r="U5202" s="693">
        <f t="shared" si="81"/>
        <v>44986</v>
      </c>
      <c r="V5202" s="698">
        <v>45013</v>
      </c>
      <c r="W5202">
        <v>4686.83</v>
      </c>
    </row>
    <row r="5203" spans="21:23">
      <c r="U5203" s="693">
        <f t="shared" si="81"/>
        <v>44986</v>
      </c>
      <c r="V5203" s="698">
        <v>45014</v>
      </c>
      <c r="W5203">
        <v>4658.79</v>
      </c>
    </row>
    <row r="5204" spans="21:23">
      <c r="U5204" s="693">
        <f t="shared" si="81"/>
        <v>44986</v>
      </c>
      <c r="V5204" s="698">
        <v>45015</v>
      </c>
      <c r="W5204">
        <v>4627.63</v>
      </c>
    </row>
    <row r="5205" spans="21:23">
      <c r="U5205" s="693">
        <f t="shared" si="81"/>
        <v>44986</v>
      </c>
      <c r="V5205" s="698">
        <v>45016</v>
      </c>
      <c r="W5205">
        <v>4627.2700000000004</v>
      </c>
    </row>
    <row r="5206" spans="21:23">
      <c r="U5206" s="693">
        <f t="shared" si="81"/>
        <v>45017</v>
      </c>
      <c r="V5206" s="698">
        <v>45017</v>
      </c>
      <c r="W5206">
        <v>4646.08</v>
      </c>
    </row>
    <row r="5207" spans="21:23">
      <c r="U5207" s="693">
        <f t="shared" si="81"/>
        <v>45017</v>
      </c>
      <c r="V5207" s="698">
        <v>45018</v>
      </c>
      <c r="W5207">
        <v>4646.08</v>
      </c>
    </row>
    <row r="5208" spans="21:23">
      <c r="U5208" s="693">
        <f t="shared" si="81"/>
        <v>45017</v>
      </c>
      <c r="V5208" s="698">
        <v>45019</v>
      </c>
      <c r="W5208">
        <v>4646.08</v>
      </c>
    </row>
    <row r="5209" spans="21:23">
      <c r="U5209" s="693">
        <f t="shared" si="81"/>
        <v>45017</v>
      </c>
      <c r="V5209" s="698">
        <v>45020</v>
      </c>
      <c r="W5209">
        <v>4603</v>
      </c>
    </row>
    <row r="5210" spans="21:23">
      <c r="U5210" s="693">
        <f t="shared" si="81"/>
        <v>45017</v>
      </c>
      <c r="V5210" s="698">
        <v>45021</v>
      </c>
      <c r="W5210">
        <v>4587.3100000000004</v>
      </c>
    </row>
    <row r="5211" spans="21:23">
      <c r="U5211" s="693">
        <f t="shared" si="81"/>
        <v>45017</v>
      </c>
      <c r="V5211" s="698">
        <v>45022</v>
      </c>
      <c r="W5211">
        <v>4570.91</v>
      </c>
    </row>
    <row r="5212" spans="21:23">
      <c r="U5212" s="693">
        <f t="shared" si="81"/>
        <v>45017</v>
      </c>
      <c r="V5212" s="698">
        <v>45023</v>
      </c>
      <c r="W5212">
        <v>4570.91</v>
      </c>
    </row>
    <row r="5213" spans="21:23">
      <c r="U5213" s="693">
        <f t="shared" si="81"/>
        <v>45017</v>
      </c>
      <c r="V5213" s="698">
        <v>45024</v>
      </c>
      <c r="W5213">
        <v>4570.91</v>
      </c>
    </row>
    <row r="5214" spans="21:23">
      <c r="U5214" s="693">
        <f t="shared" si="81"/>
        <v>45017</v>
      </c>
      <c r="V5214" s="698">
        <v>45025</v>
      </c>
      <c r="W5214">
        <v>4570.91</v>
      </c>
    </row>
    <row r="5215" spans="21:23">
      <c r="U5215" s="693">
        <f t="shared" si="81"/>
        <v>45017</v>
      </c>
      <c r="V5215" s="698">
        <v>45026</v>
      </c>
      <c r="W5215">
        <v>4570.91</v>
      </c>
    </row>
    <row r="5216" spans="21:23">
      <c r="U5216" s="693">
        <f t="shared" si="81"/>
        <v>45017</v>
      </c>
      <c r="V5216" s="698">
        <v>45027</v>
      </c>
      <c r="W5216">
        <v>4564.24</v>
      </c>
    </row>
    <row r="5217" spans="21:23">
      <c r="U5217" s="693">
        <f t="shared" si="81"/>
        <v>45017</v>
      </c>
      <c r="V5217" s="698">
        <v>45028</v>
      </c>
      <c r="W5217">
        <v>4516.76</v>
      </c>
    </row>
    <row r="5218" spans="21:23">
      <c r="U5218" s="693">
        <f t="shared" si="81"/>
        <v>45017</v>
      </c>
      <c r="V5218" s="698">
        <v>45029</v>
      </c>
      <c r="W5218">
        <v>4458.87</v>
      </c>
    </row>
    <row r="5219" spans="21:23">
      <c r="U5219" s="693">
        <f t="shared" si="81"/>
        <v>45017</v>
      </c>
      <c r="V5219" s="698">
        <v>45030</v>
      </c>
      <c r="W5219">
        <v>4424.0200000000004</v>
      </c>
    </row>
    <row r="5220" spans="21:23">
      <c r="U5220" s="693">
        <f t="shared" si="81"/>
        <v>45017</v>
      </c>
      <c r="V5220" s="698">
        <v>45031</v>
      </c>
      <c r="W5220">
        <v>4425.2700000000004</v>
      </c>
    </row>
    <row r="5221" spans="21:23">
      <c r="U5221" s="693">
        <f t="shared" si="81"/>
        <v>45017</v>
      </c>
      <c r="V5221" s="698">
        <v>45032</v>
      </c>
      <c r="W5221">
        <v>4425.2700000000004</v>
      </c>
    </row>
    <row r="5222" spans="21:23">
      <c r="U5222" s="693">
        <f t="shared" si="81"/>
        <v>45017</v>
      </c>
      <c r="V5222" s="698">
        <v>45033</v>
      </c>
      <c r="W5222">
        <v>4425.2700000000004</v>
      </c>
    </row>
    <row r="5223" spans="21:23">
      <c r="U5223" s="693">
        <f t="shared" si="81"/>
        <v>45017</v>
      </c>
      <c r="V5223" s="698">
        <v>45034</v>
      </c>
      <c r="W5223">
        <v>4431.45</v>
      </c>
    </row>
    <row r="5224" spans="21:23">
      <c r="U5224" s="693">
        <f t="shared" si="81"/>
        <v>45017</v>
      </c>
      <c r="V5224" s="698">
        <v>45035</v>
      </c>
      <c r="W5224">
        <v>4473.07</v>
      </c>
    </row>
    <row r="5225" spans="21:23">
      <c r="U5225" s="693">
        <f t="shared" si="81"/>
        <v>45017</v>
      </c>
      <c r="V5225" s="698">
        <v>45036</v>
      </c>
      <c r="W5225">
        <v>4532.43</v>
      </c>
    </row>
    <row r="5226" spans="21:23">
      <c r="U5226" s="693">
        <f t="shared" si="81"/>
        <v>45017</v>
      </c>
      <c r="V5226" s="698">
        <v>45037</v>
      </c>
      <c r="W5226">
        <v>4535.78</v>
      </c>
    </row>
    <row r="5227" spans="21:23">
      <c r="U5227" s="693">
        <f t="shared" si="81"/>
        <v>45017</v>
      </c>
      <c r="V5227" s="698">
        <v>45038</v>
      </c>
      <c r="W5227">
        <v>4523.6400000000003</v>
      </c>
    </row>
    <row r="5228" spans="21:23">
      <c r="U5228" s="693">
        <f t="shared" si="81"/>
        <v>45017</v>
      </c>
      <c r="V5228" s="698">
        <v>45039</v>
      </c>
      <c r="W5228">
        <v>4523.6400000000003</v>
      </c>
    </row>
    <row r="5229" spans="21:23">
      <c r="U5229" s="693">
        <f t="shared" si="81"/>
        <v>45017</v>
      </c>
      <c r="V5229" s="698">
        <v>45040</v>
      </c>
      <c r="W5229">
        <v>4523.6400000000003</v>
      </c>
    </row>
    <row r="5230" spans="21:23">
      <c r="U5230" s="693">
        <f t="shared" si="81"/>
        <v>45017</v>
      </c>
      <c r="V5230" s="698">
        <v>45041</v>
      </c>
      <c r="W5230">
        <v>4482.45</v>
      </c>
    </row>
    <row r="5231" spans="21:23">
      <c r="U5231" s="693">
        <f t="shared" si="81"/>
        <v>45017</v>
      </c>
      <c r="V5231" s="698">
        <v>45042</v>
      </c>
      <c r="W5231">
        <v>4486.6000000000004</v>
      </c>
    </row>
    <row r="5232" spans="21:23">
      <c r="U5232" s="693">
        <f t="shared" si="81"/>
        <v>45017</v>
      </c>
      <c r="V5232" s="698">
        <v>45043</v>
      </c>
      <c r="W5232">
        <v>4552.59</v>
      </c>
    </row>
    <row r="5233" spans="21:23">
      <c r="U5233" s="693">
        <f t="shared" si="81"/>
        <v>45017</v>
      </c>
      <c r="V5233" s="698">
        <v>45044</v>
      </c>
      <c r="W5233">
        <v>4654.1400000000003</v>
      </c>
    </row>
    <row r="5234" spans="21:23">
      <c r="U5234" s="693">
        <f t="shared" si="81"/>
        <v>45017</v>
      </c>
      <c r="V5234" s="698">
        <v>45045</v>
      </c>
      <c r="W5234">
        <v>4669</v>
      </c>
    </row>
    <row r="5235" spans="21:23">
      <c r="U5235" s="693">
        <f t="shared" si="81"/>
        <v>45017</v>
      </c>
      <c r="V5235" s="698">
        <v>45046</v>
      </c>
      <c r="W5235">
        <v>4669</v>
      </c>
    </row>
    <row r="5236" spans="21:23">
      <c r="U5236" s="693">
        <f t="shared" si="81"/>
        <v>45047</v>
      </c>
      <c r="V5236" s="698">
        <v>45047</v>
      </c>
      <c r="W5236">
        <v>4669</v>
      </c>
    </row>
    <row r="5237" spans="21:23">
      <c r="U5237" s="693">
        <f t="shared" si="81"/>
        <v>45047</v>
      </c>
      <c r="V5237" s="698">
        <v>45048</v>
      </c>
      <c r="W5237">
        <v>4669</v>
      </c>
    </row>
    <row r="5238" spans="21:23">
      <c r="U5238" s="693">
        <f t="shared" si="81"/>
        <v>45047</v>
      </c>
      <c r="V5238" s="698">
        <v>45049</v>
      </c>
      <c r="W5238">
        <v>4713.08</v>
      </c>
    </row>
    <row r="5239" spans="21:23">
      <c r="U5239" s="693">
        <f t="shared" si="81"/>
        <v>45047</v>
      </c>
      <c r="V5239" s="698">
        <v>45050</v>
      </c>
      <c r="W5239">
        <v>4667.09</v>
      </c>
    </row>
    <row r="5240" spans="21:23">
      <c r="U5240" s="693">
        <f t="shared" si="81"/>
        <v>45047</v>
      </c>
      <c r="V5240" s="698">
        <v>45051</v>
      </c>
      <c r="W5240">
        <v>4616.58</v>
      </c>
    </row>
    <row r="5241" spans="21:23">
      <c r="U5241" s="693">
        <f t="shared" si="81"/>
        <v>45047</v>
      </c>
      <c r="V5241" s="698">
        <v>45052</v>
      </c>
      <c r="W5241">
        <v>4552.5600000000004</v>
      </c>
    </row>
    <row r="5242" spans="21:23">
      <c r="U5242" s="693">
        <f t="shared" si="81"/>
        <v>45047</v>
      </c>
      <c r="V5242" s="698">
        <v>45053</v>
      </c>
      <c r="W5242">
        <v>4552.5600000000004</v>
      </c>
    </row>
    <row r="5243" spans="21:23">
      <c r="U5243" s="693">
        <f t="shared" si="81"/>
        <v>45047</v>
      </c>
      <c r="V5243" s="698">
        <v>45054</v>
      </c>
      <c r="W5243">
        <v>4552.5600000000004</v>
      </c>
    </row>
    <row r="5244" spans="21:23">
      <c r="U5244" s="693">
        <f t="shared" si="81"/>
        <v>45047</v>
      </c>
      <c r="V5244" s="698">
        <v>45055</v>
      </c>
      <c r="W5244">
        <v>4490.58</v>
      </c>
    </row>
    <row r="5245" spans="21:23">
      <c r="U5245" s="693">
        <f t="shared" si="81"/>
        <v>45047</v>
      </c>
      <c r="V5245" s="698">
        <v>45056</v>
      </c>
      <c r="W5245">
        <v>4540.34</v>
      </c>
    </row>
    <row r="5246" spans="21:23">
      <c r="U5246" s="693">
        <f t="shared" si="81"/>
        <v>45047</v>
      </c>
      <c r="V5246" s="698">
        <v>45057</v>
      </c>
      <c r="W5246">
        <v>4545.3900000000003</v>
      </c>
    </row>
    <row r="5247" spans="21:23">
      <c r="U5247" s="693">
        <f t="shared" si="81"/>
        <v>45047</v>
      </c>
      <c r="V5247" s="698">
        <v>45058</v>
      </c>
      <c r="W5247">
        <v>4601.1499999999996</v>
      </c>
    </row>
    <row r="5248" spans="21:23">
      <c r="U5248" s="693">
        <f t="shared" si="81"/>
        <v>45047</v>
      </c>
      <c r="V5248" s="698">
        <v>45059</v>
      </c>
      <c r="W5248">
        <v>4564.4399999999996</v>
      </c>
    </row>
    <row r="5249" spans="21:23">
      <c r="U5249" s="693">
        <f t="shared" si="81"/>
        <v>45047</v>
      </c>
      <c r="V5249" s="698">
        <v>45060</v>
      </c>
      <c r="W5249">
        <v>4564.4399999999996</v>
      </c>
    </row>
    <row r="5250" spans="21:23">
      <c r="U5250" s="693">
        <f t="shared" si="81"/>
        <v>45047</v>
      </c>
      <c r="V5250" s="698">
        <v>45061</v>
      </c>
      <c r="W5250">
        <v>4564.4399999999996</v>
      </c>
    </row>
    <row r="5251" spans="21:23">
      <c r="U5251" s="693">
        <f t="shared" ref="U5251:U5314" si="82">+DATE(YEAR(V5251),MONTH(V5251),1)</f>
        <v>45047</v>
      </c>
      <c r="V5251" s="698">
        <v>45062</v>
      </c>
      <c r="W5251">
        <v>4506.49</v>
      </c>
    </row>
    <row r="5252" spans="21:23">
      <c r="U5252" s="693">
        <f t="shared" si="82"/>
        <v>45047</v>
      </c>
      <c r="V5252" s="698">
        <v>45063</v>
      </c>
      <c r="W5252">
        <v>4531.58</v>
      </c>
    </row>
    <row r="5253" spans="21:23">
      <c r="U5253" s="693">
        <f t="shared" si="82"/>
        <v>45047</v>
      </c>
      <c r="V5253" s="698">
        <v>45064</v>
      </c>
      <c r="W5253">
        <v>4528.3</v>
      </c>
    </row>
    <row r="5254" spans="21:23">
      <c r="U5254" s="693">
        <f t="shared" si="82"/>
        <v>45047</v>
      </c>
      <c r="V5254" s="698">
        <v>45065</v>
      </c>
      <c r="W5254">
        <v>4521.6400000000003</v>
      </c>
    </row>
    <row r="5255" spans="21:23">
      <c r="U5255" s="693">
        <f t="shared" si="82"/>
        <v>45047</v>
      </c>
      <c r="V5255" s="698">
        <v>45066</v>
      </c>
      <c r="W5255">
        <v>4528.67</v>
      </c>
    </row>
    <row r="5256" spans="21:23">
      <c r="U5256" s="693">
        <f t="shared" si="82"/>
        <v>45047</v>
      </c>
      <c r="V5256" s="698">
        <v>45067</v>
      </c>
      <c r="W5256">
        <v>4528.67</v>
      </c>
    </row>
    <row r="5257" spans="21:23">
      <c r="U5257" s="693">
        <f t="shared" si="82"/>
        <v>45047</v>
      </c>
      <c r="V5257" s="698">
        <v>45068</v>
      </c>
      <c r="W5257">
        <v>4528.67</v>
      </c>
    </row>
    <row r="5258" spans="21:23">
      <c r="U5258" s="693">
        <f t="shared" si="82"/>
        <v>45047</v>
      </c>
      <c r="V5258" s="698">
        <v>45069</v>
      </c>
      <c r="W5258">
        <v>4528.67</v>
      </c>
    </row>
    <row r="5259" spans="21:23">
      <c r="U5259" s="693">
        <f t="shared" si="82"/>
        <v>45047</v>
      </c>
      <c r="V5259" s="698">
        <v>45070</v>
      </c>
      <c r="W5259">
        <v>4501.8100000000004</v>
      </c>
    </row>
    <row r="5260" spans="21:23">
      <c r="U5260" s="693">
        <f t="shared" si="82"/>
        <v>45047</v>
      </c>
      <c r="V5260" s="698">
        <v>45071</v>
      </c>
      <c r="W5260">
        <v>4448.93</v>
      </c>
    </row>
    <row r="5261" spans="21:23">
      <c r="U5261" s="693">
        <f t="shared" si="82"/>
        <v>45047</v>
      </c>
      <c r="V5261" s="698">
        <v>45072</v>
      </c>
      <c r="W5261">
        <v>4470.83</v>
      </c>
    </row>
    <row r="5262" spans="21:23">
      <c r="U5262" s="693">
        <f t="shared" si="82"/>
        <v>45047</v>
      </c>
      <c r="V5262" s="698">
        <v>45073</v>
      </c>
      <c r="W5262">
        <v>4461.66</v>
      </c>
    </row>
    <row r="5263" spans="21:23">
      <c r="U5263" s="693">
        <f t="shared" si="82"/>
        <v>45047</v>
      </c>
      <c r="V5263" s="698">
        <v>45074</v>
      </c>
      <c r="W5263">
        <v>4461.66</v>
      </c>
    </row>
    <row r="5264" spans="21:23">
      <c r="U5264" s="693">
        <f t="shared" si="82"/>
        <v>45047</v>
      </c>
      <c r="V5264" s="698">
        <v>45075</v>
      </c>
      <c r="W5264">
        <v>4461.66</v>
      </c>
    </row>
    <row r="5265" spans="21:23">
      <c r="U5265" s="693">
        <f t="shared" si="82"/>
        <v>45047</v>
      </c>
      <c r="V5265" s="698">
        <v>45076</v>
      </c>
      <c r="W5265">
        <v>4461.66</v>
      </c>
    </row>
    <row r="5266" spans="21:23">
      <c r="U5266" s="693">
        <f t="shared" si="82"/>
        <v>45047</v>
      </c>
      <c r="V5266" s="698">
        <v>45077</v>
      </c>
      <c r="W5266">
        <v>4408.6499999999996</v>
      </c>
    </row>
    <row r="5267" spans="21:23">
      <c r="U5267" s="693">
        <f t="shared" si="82"/>
        <v>45078</v>
      </c>
      <c r="V5267" s="698">
        <v>45078</v>
      </c>
      <c r="W5267">
        <v>4434.09</v>
      </c>
    </row>
    <row r="5268" spans="21:23">
      <c r="U5268" s="693">
        <f t="shared" si="82"/>
        <v>45078</v>
      </c>
      <c r="V5268" s="698">
        <v>45079</v>
      </c>
      <c r="W5268">
        <v>4410.49</v>
      </c>
    </row>
    <row r="5269" spans="21:23">
      <c r="U5269" s="693">
        <f t="shared" si="82"/>
        <v>45078</v>
      </c>
      <c r="V5269" s="698">
        <v>45080</v>
      </c>
      <c r="W5269">
        <v>4355.8</v>
      </c>
    </row>
    <row r="5270" spans="21:23">
      <c r="U5270" s="693">
        <f t="shared" si="82"/>
        <v>45078</v>
      </c>
      <c r="V5270" s="698">
        <v>45081</v>
      </c>
      <c r="W5270">
        <v>4355.8</v>
      </c>
    </row>
    <row r="5271" spans="21:23">
      <c r="U5271" s="693">
        <f t="shared" si="82"/>
        <v>45078</v>
      </c>
      <c r="V5271" s="698">
        <v>45082</v>
      </c>
      <c r="W5271">
        <v>4355.8</v>
      </c>
    </row>
    <row r="5272" spans="21:23">
      <c r="U5272" s="693">
        <f t="shared" si="82"/>
        <v>45078</v>
      </c>
      <c r="V5272" s="698">
        <v>45083</v>
      </c>
      <c r="W5272">
        <v>4307.0200000000004</v>
      </c>
    </row>
    <row r="5273" spans="21:23">
      <c r="U5273" s="693">
        <f t="shared" si="82"/>
        <v>45078</v>
      </c>
      <c r="V5273" s="698">
        <v>45084</v>
      </c>
      <c r="W5273">
        <v>4245</v>
      </c>
    </row>
    <row r="5274" spans="21:23">
      <c r="U5274" s="693">
        <f t="shared" si="82"/>
        <v>45078</v>
      </c>
      <c r="V5274" s="698">
        <v>45085</v>
      </c>
      <c r="W5274">
        <v>4209.1400000000003</v>
      </c>
    </row>
    <row r="5275" spans="21:23">
      <c r="U5275" s="693">
        <f t="shared" si="82"/>
        <v>45078</v>
      </c>
      <c r="V5275" s="698">
        <v>45086</v>
      </c>
      <c r="W5275">
        <v>4179.9799999999996</v>
      </c>
    </row>
    <row r="5276" spans="21:23">
      <c r="U5276" s="693">
        <f t="shared" si="82"/>
        <v>45078</v>
      </c>
      <c r="V5276" s="698">
        <v>45087</v>
      </c>
      <c r="W5276">
        <v>4173.66</v>
      </c>
    </row>
    <row r="5277" spans="21:23">
      <c r="U5277" s="693">
        <f t="shared" si="82"/>
        <v>45078</v>
      </c>
      <c r="V5277" s="698">
        <v>45088</v>
      </c>
      <c r="W5277">
        <v>4173.66</v>
      </c>
    </row>
    <row r="5278" spans="21:23">
      <c r="U5278" s="693">
        <f t="shared" si="82"/>
        <v>45078</v>
      </c>
      <c r="V5278" s="698">
        <v>45089</v>
      </c>
      <c r="W5278">
        <v>4173.66</v>
      </c>
    </row>
    <row r="5279" spans="21:23">
      <c r="U5279" s="693">
        <f t="shared" si="82"/>
        <v>45078</v>
      </c>
      <c r="V5279" s="698">
        <v>45090</v>
      </c>
      <c r="W5279">
        <v>4173.66</v>
      </c>
    </row>
    <row r="5280" spans="21:23">
      <c r="U5280" s="693">
        <f t="shared" si="82"/>
        <v>45078</v>
      </c>
      <c r="V5280" s="698">
        <v>45091</v>
      </c>
      <c r="W5280">
        <v>4186.3</v>
      </c>
    </row>
    <row r="5281" spans="21:23">
      <c r="U5281" s="693">
        <f t="shared" si="82"/>
        <v>45078</v>
      </c>
      <c r="V5281" s="698">
        <v>45092</v>
      </c>
      <c r="W5281">
        <v>4182.33</v>
      </c>
    </row>
    <row r="5282" spans="21:23">
      <c r="U5282" s="693">
        <f t="shared" si="82"/>
        <v>45078</v>
      </c>
      <c r="V5282" s="698">
        <v>45093</v>
      </c>
      <c r="W5282">
        <v>4164.66</v>
      </c>
    </row>
    <row r="5283" spans="21:23">
      <c r="U5283" s="693">
        <f t="shared" si="82"/>
        <v>45078</v>
      </c>
      <c r="V5283" s="698">
        <v>45094</v>
      </c>
      <c r="W5283">
        <v>4145.72</v>
      </c>
    </row>
    <row r="5284" spans="21:23">
      <c r="U5284" s="693">
        <f t="shared" si="82"/>
        <v>45078</v>
      </c>
      <c r="V5284" s="698">
        <v>45095</v>
      </c>
      <c r="W5284">
        <v>4145.72</v>
      </c>
    </row>
    <row r="5285" spans="21:23">
      <c r="U5285" s="693">
        <f t="shared" si="82"/>
        <v>45078</v>
      </c>
      <c r="V5285" s="698">
        <v>45096</v>
      </c>
      <c r="W5285">
        <v>4145.72</v>
      </c>
    </row>
    <row r="5286" spans="21:23">
      <c r="U5286" s="693">
        <f t="shared" si="82"/>
        <v>45078</v>
      </c>
      <c r="V5286" s="698">
        <v>45097</v>
      </c>
      <c r="W5286">
        <v>4145.72</v>
      </c>
    </row>
    <row r="5287" spans="21:23">
      <c r="U5287" s="693">
        <f t="shared" si="82"/>
        <v>45078</v>
      </c>
      <c r="V5287" s="698">
        <v>45098</v>
      </c>
      <c r="W5287">
        <v>4149.18</v>
      </c>
    </row>
    <row r="5288" spans="21:23">
      <c r="U5288" s="693">
        <f t="shared" si="82"/>
        <v>45078</v>
      </c>
      <c r="V5288" s="698">
        <v>45099</v>
      </c>
      <c r="W5288">
        <v>4158.21</v>
      </c>
    </row>
    <row r="5289" spans="21:23">
      <c r="U5289" s="693">
        <f t="shared" si="82"/>
        <v>45078</v>
      </c>
      <c r="V5289" s="698">
        <v>45100</v>
      </c>
      <c r="W5289">
        <v>4114.3900000000003</v>
      </c>
    </row>
    <row r="5290" spans="21:23">
      <c r="U5290" s="693">
        <f t="shared" si="82"/>
        <v>45078</v>
      </c>
      <c r="V5290" s="698">
        <v>45101</v>
      </c>
      <c r="W5290">
        <v>4168.88</v>
      </c>
    </row>
    <row r="5291" spans="21:23">
      <c r="U5291" s="693">
        <f t="shared" si="82"/>
        <v>45078</v>
      </c>
      <c r="V5291" s="698">
        <v>45102</v>
      </c>
      <c r="W5291">
        <v>4168.88</v>
      </c>
    </row>
    <row r="5292" spans="21:23">
      <c r="U5292" s="693">
        <f t="shared" si="82"/>
        <v>45078</v>
      </c>
      <c r="V5292" s="698">
        <v>45103</v>
      </c>
      <c r="W5292">
        <v>4168.88</v>
      </c>
    </row>
    <row r="5293" spans="21:23">
      <c r="U5293" s="693">
        <f t="shared" si="82"/>
        <v>45078</v>
      </c>
      <c r="V5293" s="698">
        <v>45104</v>
      </c>
      <c r="W5293">
        <v>4172.33</v>
      </c>
    </row>
    <row r="5294" spans="21:23">
      <c r="U5294" s="693">
        <f t="shared" si="82"/>
        <v>45078</v>
      </c>
      <c r="V5294" s="698">
        <v>45105</v>
      </c>
      <c r="W5294">
        <v>4152.4799999999996</v>
      </c>
    </row>
    <row r="5295" spans="21:23">
      <c r="U5295" s="693">
        <f t="shared" si="82"/>
        <v>45078</v>
      </c>
      <c r="V5295" s="698">
        <v>45106</v>
      </c>
      <c r="W5295">
        <v>4169.6000000000004</v>
      </c>
    </row>
    <row r="5296" spans="21:23">
      <c r="U5296" s="693">
        <f t="shared" si="82"/>
        <v>45078</v>
      </c>
      <c r="V5296" s="698">
        <v>45107</v>
      </c>
      <c r="W5296">
        <v>4191.28</v>
      </c>
    </row>
    <row r="5297" spans="21:23">
      <c r="U5297" s="693">
        <f t="shared" si="82"/>
        <v>45108</v>
      </c>
      <c r="V5297" s="698">
        <v>45108</v>
      </c>
      <c r="W5297">
        <v>4177.58</v>
      </c>
    </row>
    <row r="5298" spans="21:23">
      <c r="U5298" s="693">
        <f t="shared" si="82"/>
        <v>45108</v>
      </c>
      <c r="V5298" s="698">
        <v>45109</v>
      </c>
      <c r="W5298">
        <v>4177.58</v>
      </c>
    </row>
    <row r="5299" spans="21:23">
      <c r="U5299" s="693">
        <f t="shared" si="82"/>
        <v>45108</v>
      </c>
      <c r="V5299" s="698">
        <v>45110</v>
      </c>
      <c r="W5299">
        <v>4177.58</v>
      </c>
    </row>
    <row r="5300" spans="21:23">
      <c r="U5300" s="693">
        <f t="shared" si="82"/>
        <v>45108</v>
      </c>
      <c r="V5300" s="698">
        <v>45111</v>
      </c>
      <c r="W5300">
        <v>4177.58</v>
      </c>
    </row>
    <row r="5301" spans="21:23">
      <c r="U5301" s="693">
        <f t="shared" si="82"/>
        <v>45108</v>
      </c>
      <c r="V5301" s="698">
        <v>45112</v>
      </c>
      <c r="W5301">
        <v>4177.58</v>
      </c>
    </row>
    <row r="5302" spans="21:23">
      <c r="U5302" s="693">
        <f t="shared" si="82"/>
        <v>45108</v>
      </c>
      <c r="V5302" s="698">
        <v>45113</v>
      </c>
      <c r="W5302">
        <v>4128.08</v>
      </c>
    </row>
    <row r="5303" spans="21:23">
      <c r="U5303" s="693">
        <f t="shared" si="82"/>
        <v>45108</v>
      </c>
      <c r="V5303" s="698">
        <v>45114</v>
      </c>
      <c r="W5303">
        <v>4195.93</v>
      </c>
    </row>
    <row r="5304" spans="21:23">
      <c r="U5304" s="693">
        <f t="shared" si="82"/>
        <v>45108</v>
      </c>
      <c r="V5304" s="698">
        <v>45115</v>
      </c>
      <c r="W5304">
        <v>4189.96</v>
      </c>
    </row>
    <row r="5305" spans="21:23">
      <c r="U5305" s="693">
        <f t="shared" si="82"/>
        <v>45108</v>
      </c>
      <c r="V5305" s="698">
        <v>45116</v>
      </c>
      <c r="W5305">
        <v>4189.96</v>
      </c>
    </row>
    <row r="5306" spans="21:23">
      <c r="U5306" s="693">
        <f t="shared" si="82"/>
        <v>45108</v>
      </c>
      <c r="V5306" s="698">
        <v>45117</v>
      </c>
      <c r="W5306">
        <v>4189.96</v>
      </c>
    </row>
    <row r="5307" spans="21:23">
      <c r="U5307" s="693">
        <f t="shared" si="82"/>
        <v>45108</v>
      </c>
      <c r="V5307" s="698">
        <v>45118</v>
      </c>
      <c r="W5307">
        <v>4154.0600000000004</v>
      </c>
    </row>
    <row r="5308" spans="21:23">
      <c r="U5308" s="693">
        <f t="shared" si="82"/>
        <v>45108</v>
      </c>
      <c r="V5308" s="698">
        <v>45119</v>
      </c>
      <c r="W5308">
        <v>4193.59</v>
      </c>
    </row>
    <row r="5309" spans="21:23">
      <c r="U5309" s="693">
        <f t="shared" si="82"/>
        <v>45108</v>
      </c>
      <c r="V5309" s="698">
        <v>45120</v>
      </c>
      <c r="W5309">
        <v>4128.67</v>
      </c>
    </row>
    <row r="5310" spans="21:23">
      <c r="U5310" s="693">
        <f t="shared" si="82"/>
        <v>45108</v>
      </c>
      <c r="V5310" s="698">
        <v>45121</v>
      </c>
      <c r="W5310">
        <v>4102.13</v>
      </c>
    </row>
    <row r="5311" spans="21:23">
      <c r="U5311" s="693">
        <f t="shared" si="82"/>
        <v>45108</v>
      </c>
      <c r="V5311" s="698">
        <v>45122</v>
      </c>
      <c r="W5311">
        <v>4089.3</v>
      </c>
    </row>
    <row r="5312" spans="21:23">
      <c r="U5312" s="693">
        <f t="shared" si="82"/>
        <v>45108</v>
      </c>
      <c r="V5312" s="698">
        <v>45123</v>
      </c>
      <c r="W5312">
        <v>4089.3</v>
      </c>
    </row>
    <row r="5313" spans="21:23">
      <c r="U5313" s="693">
        <f t="shared" si="82"/>
        <v>45108</v>
      </c>
      <c r="V5313" s="698">
        <v>45124</v>
      </c>
      <c r="W5313">
        <v>4089.3</v>
      </c>
    </row>
    <row r="5314" spans="21:23">
      <c r="U5314" s="693">
        <f t="shared" si="82"/>
        <v>45108</v>
      </c>
      <c r="V5314" s="698">
        <v>45125</v>
      </c>
      <c r="W5314">
        <v>4069.39</v>
      </c>
    </row>
    <row r="5315" spans="21:23">
      <c r="U5315" s="693">
        <f t="shared" ref="U5315:U5378" si="83">+DATE(YEAR(V5315),MONTH(V5315),1)</f>
        <v>45108</v>
      </c>
      <c r="V5315" s="698">
        <v>45126</v>
      </c>
      <c r="W5315">
        <v>3991.15</v>
      </c>
    </row>
    <row r="5316" spans="21:23">
      <c r="U5316" s="693">
        <f t="shared" si="83"/>
        <v>45108</v>
      </c>
      <c r="V5316" s="698">
        <v>45127</v>
      </c>
      <c r="W5316">
        <v>3980.2</v>
      </c>
    </row>
    <row r="5317" spans="21:23">
      <c r="U5317" s="693">
        <f t="shared" si="83"/>
        <v>45108</v>
      </c>
      <c r="V5317" s="698">
        <v>45128</v>
      </c>
      <c r="W5317">
        <v>3980.2</v>
      </c>
    </row>
    <row r="5318" spans="21:23">
      <c r="U5318" s="693">
        <f t="shared" si="83"/>
        <v>45108</v>
      </c>
      <c r="V5318" s="698">
        <v>45129</v>
      </c>
      <c r="W5318">
        <v>3971.38</v>
      </c>
    </row>
    <row r="5319" spans="21:23">
      <c r="U5319" s="693">
        <f t="shared" si="83"/>
        <v>45108</v>
      </c>
      <c r="V5319" s="698">
        <v>45130</v>
      </c>
      <c r="W5319">
        <v>3971.38</v>
      </c>
    </row>
    <row r="5320" spans="21:23">
      <c r="U5320" s="693">
        <f t="shared" si="83"/>
        <v>45108</v>
      </c>
      <c r="V5320" s="698">
        <v>45131</v>
      </c>
      <c r="W5320">
        <v>3971.38</v>
      </c>
    </row>
    <row r="5321" spans="21:23">
      <c r="U5321" s="693">
        <f t="shared" si="83"/>
        <v>45108</v>
      </c>
      <c r="V5321" s="698">
        <v>45132</v>
      </c>
      <c r="W5321">
        <v>3950.58</v>
      </c>
    </row>
    <row r="5322" spans="21:23">
      <c r="U5322" s="693">
        <f t="shared" si="83"/>
        <v>45108</v>
      </c>
      <c r="V5322" s="698">
        <v>45133</v>
      </c>
      <c r="W5322">
        <v>3978.83</v>
      </c>
    </row>
    <row r="5323" spans="21:23">
      <c r="U5323" s="693">
        <f t="shared" si="83"/>
        <v>45108</v>
      </c>
      <c r="V5323" s="698">
        <v>45134</v>
      </c>
      <c r="W5323">
        <v>3951.1</v>
      </c>
    </row>
    <row r="5324" spans="21:23">
      <c r="U5324" s="693">
        <f t="shared" si="83"/>
        <v>45108</v>
      </c>
      <c r="V5324" s="698">
        <v>45135</v>
      </c>
      <c r="W5324">
        <v>3932.04</v>
      </c>
    </row>
    <row r="5325" spans="21:23">
      <c r="U5325" s="693">
        <f t="shared" si="83"/>
        <v>45108</v>
      </c>
      <c r="V5325" s="698">
        <v>45136</v>
      </c>
      <c r="W5325">
        <v>3923.49</v>
      </c>
    </row>
    <row r="5326" spans="21:23">
      <c r="U5326" s="693">
        <f t="shared" si="83"/>
        <v>45108</v>
      </c>
      <c r="V5326" s="698">
        <v>45137</v>
      </c>
      <c r="W5326">
        <v>3923.49</v>
      </c>
    </row>
    <row r="5327" spans="21:23">
      <c r="U5327" s="693">
        <f t="shared" si="83"/>
        <v>45108</v>
      </c>
      <c r="V5327" s="698">
        <v>45138</v>
      </c>
      <c r="W5327">
        <v>3923.49</v>
      </c>
    </row>
    <row r="5328" spans="21:23">
      <c r="U5328" s="693">
        <f t="shared" si="83"/>
        <v>45139</v>
      </c>
      <c r="V5328" s="698">
        <v>45139</v>
      </c>
      <c r="W5328">
        <v>3898.48</v>
      </c>
    </row>
    <row r="5329" spans="21:23">
      <c r="U5329" s="693">
        <f t="shared" si="83"/>
        <v>45139</v>
      </c>
      <c r="V5329" s="698">
        <v>45140</v>
      </c>
      <c r="W5329">
        <v>4007.44</v>
      </c>
    </row>
    <row r="5330" spans="21:23">
      <c r="U5330" s="693">
        <f t="shared" si="83"/>
        <v>45139</v>
      </c>
      <c r="V5330" s="698">
        <v>45141</v>
      </c>
      <c r="W5330">
        <v>4056.99</v>
      </c>
    </row>
    <row r="5331" spans="21:23">
      <c r="U5331" s="693">
        <f t="shared" si="83"/>
        <v>45139</v>
      </c>
      <c r="V5331" s="698">
        <v>45142</v>
      </c>
      <c r="W5331">
        <v>4144.79</v>
      </c>
    </row>
    <row r="5332" spans="21:23">
      <c r="U5332" s="693">
        <f t="shared" si="83"/>
        <v>45139</v>
      </c>
      <c r="V5332" s="698">
        <v>45143</v>
      </c>
      <c r="W5332">
        <v>4077.9</v>
      </c>
    </row>
    <row r="5333" spans="21:23">
      <c r="U5333" s="693">
        <f t="shared" si="83"/>
        <v>45139</v>
      </c>
      <c r="V5333" s="698">
        <v>45144</v>
      </c>
      <c r="W5333">
        <v>4077.9</v>
      </c>
    </row>
    <row r="5334" spans="21:23">
      <c r="U5334" s="693">
        <f t="shared" si="83"/>
        <v>45139</v>
      </c>
      <c r="V5334" s="698">
        <v>45145</v>
      </c>
      <c r="W5334">
        <v>4077.9</v>
      </c>
    </row>
    <row r="5335" spans="21:23">
      <c r="U5335" s="693">
        <f t="shared" si="83"/>
        <v>45139</v>
      </c>
      <c r="V5335" s="698">
        <v>45146</v>
      </c>
      <c r="W5335">
        <v>4077.9</v>
      </c>
    </row>
    <row r="5336" spans="21:23">
      <c r="U5336" s="693">
        <f t="shared" si="83"/>
        <v>45139</v>
      </c>
      <c r="V5336" s="698">
        <v>45147</v>
      </c>
      <c r="W5336">
        <v>4076.46</v>
      </c>
    </row>
    <row r="5337" spans="21:23">
      <c r="U5337" s="693">
        <f t="shared" si="83"/>
        <v>45139</v>
      </c>
      <c r="V5337" s="698">
        <v>45148</v>
      </c>
      <c r="W5337">
        <v>4031.65</v>
      </c>
    </row>
    <row r="5338" spans="21:23">
      <c r="U5338" s="693">
        <f t="shared" si="83"/>
        <v>45139</v>
      </c>
      <c r="V5338" s="698">
        <v>45149</v>
      </c>
      <c r="W5338">
        <v>3955.23</v>
      </c>
    </row>
    <row r="5339" spans="21:23">
      <c r="U5339" s="693">
        <f t="shared" si="83"/>
        <v>45139</v>
      </c>
      <c r="V5339" s="698">
        <v>45150</v>
      </c>
      <c r="W5339">
        <v>3973.41</v>
      </c>
    </row>
    <row r="5340" spans="21:23">
      <c r="U5340" s="693">
        <f t="shared" si="83"/>
        <v>45139</v>
      </c>
      <c r="V5340" s="698">
        <v>45151</v>
      </c>
      <c r="W5340">
        <v>3973.41</v>
      </c>
    </row>
    <row r="5341" spans="21:23">
      <c r="U5341" s="693">
        <f t="shared" si="83"/>
        <v>45139</v>
      </c>
      <c r="V5341" s="698">
        <v>45152</v>
      </c>
      <c r="W5341">
        <v>3973.41</v>
      </c>
    </row>
    <row r="5342" spans="21:23">
      <c r="U5342" s="693">
        <f t="shared" si="83"/>
        <v>45139</v>
      </c>
      <c r="V5342" s="698">
        <v>45153</v>
      </c>
      <c r="W5342">
        <v>4029.95</v>
      </c>
    </row>
    <row r="5343" spans="21:23">
      <c r="U5343" s="693">
        <f t="shared" si="83"/>
        <v>45139</v>
      </c>
      <c r="V5343" s="698">
        <v>45154</v>
      </c>
      <c r="W5343">
        <v>4096.08</v>
      </c>
    </row>
    <row r="5344" spans="21:23">
      <c r="U5344" s="693">
        <f t="shared" si="83"/>
        <v>45139</v>
      </c>
      <c r="V5344" s="698">
        <v>45155</v>
      </c>
      <c r="W5344">
        <v>4130.33</v>
      </c>
    </row>
    <row r="5345" spans="21:23">
      <c r="U5345" s="693">
        <f t="shared" si="83"/>
        <v>45139</v>
      </c>
      <c r="V5345" s="698">
        <v>45156</v>
      </c>
      <c r="W5345">
        <v>4093.96</v>
      </c>
    </row>
    <row r="5346" spans="21:23">
      <c r="U5346" s="693">
        <f t="shared" si="83"/>
        <v>45139</v>
      </c>
      <c r="V5346" s="698">
        <v>45157</v>
      </c>
      <c r="W5346">
        <v>4124.04</v>
      </c>
    </row>
    <row r="5347" spans="21:23">
      <c r="U5347" s="693">
        <f t="shared" si="83"/>
        <v>45139</v>
      </c>
      <c r="V5347" s="698">
        <v>45158</v>
      </c>
      <c r="W5347">
        <v>4124.04</v>
      </c>
    </row>
    <row r="5348" spans="21:23">
      <c r="U5348" s="693">
        <f t="shared" si="83"/>
        <v>45139</v>
      </c>
      <c r="V5348" s="698">
        <v>45159</v>
      </c>
      <c r="W5348">
        <v>4124.04</v>
      </c>
    </row>
    <row r="5349" spans="21:23">
      <c r="U5349" s="693">
        <f t="shared" si="83"/>
        <v>45139</v>
      </c>
      <c r="V5349" s="698">
        <v>45160</v>
      </c>
      <c r="W5349">
        <v>4124.04</v>
      </c>
    </row>
    <row r="5350" spans="21:23">
      <c r="U5350" s="693">
        <f t="shared" si="83"/>
        <v>45139</v>
      </c>
      <c r="V5350" s="698">
        <v>45161</v>
      </c>
      <c r="W5350">
        <v>4120.07</v>
      </c>
    </row>
    <row r="5351" spans="21:23">
      <c r="U5351" s="693">
        <f t="shared" si="83"/>
        <v>45139</v>
      </c>
      <c r="V5351" s="698">
        <v>45162</v>
      </c>
      <c r="W5351">
        <v>4085.89</v>
      </c>
    </row>
    <row r="5352" spans="21:23">
      <c r="U5352" s="693">
        <f t="shared" si="83"/>
        <v>45139</v>
      </c>
      <c r="V5352" s="698">
        <v>45163</v>
      </c>
      <c r="W5352">
        <v>4076.9</v>
      </c>
    </row>
    <row r="5353" spans="21:23">
      <c r="U5353" s="693">
        <f t="shared" si="83"/>
        <v>45139</v>
      </c>
      <c r="V5353" s="698">
        <v>45164</v>
      </c>
      <c r="W5353">
        <v>4117.78</v>
      </c>
    </row>
    <row r="5354" spans="21:23">
      <c r="U5354" s="693">
        <f t="shared" si="83"/>
        <v>45139</v>
      </c>
      <c r="V5354" s="698">
        <v>45165</v>
      </c>
      <c r="W5354">
        <v>4117.78</v>
      </c>
    </row>
    <row r="5355" spans="21:23">
      <c r="U5355" s="693">
        <f t="shared" si="83"/>
        <v>45139</v>
      </c>
      <c r="V5355" s="698">
        <v>45166</v>
      </c>
      <c r="W5355">
        <v>4117.78</v>
      </c>
    </row>
    <row r="5356" spans="21:23">
      <c r="U5356" s="693">
        <f t="shared" si="83"/>
        <v>45139</v>
      </c>
      <c r="V5356" s="698">
        <v>45167</v>
      </c>
      <c r="W5356">
        <v>4111.5200000000004</v>
      </c>
    </row>
    <row r="5357" spans="21:23">
      <c r="U5357" s="693">
        <f t="shared" si="83"/>
        <v>45139</v>
      </c>
      <c r="V5357" s="698">
        <v>45168</v>
      </c>
      <c r="W5357">
        <v>4110.08</v>
      </c>
    </row>
    <row r="5358" spans="21:23">
      <c r="U5358" s="693">
        <f t="shared" si="83"/>
        <v>45139</v>
      </c>
      <c r="V5358" s="698">
        <v>45169</v>
      </c>
      <c r="W5358">
        <v>4085.33</v>
      </c>
    </row>
    <row r="5359" spans="21:23">
      <c r="U5359" s="693">
        <f t="shared" si="83"/>
        <v>45170</v>
      </c>
      <c r="V5359" s="698">
        <v>45170</v>
      </c>
      <c r="W5359">
        <v>4099.2</v>
      </c>
    </row>
    <row r="5360" spans="21:23">
      <c r="U5360" s="693">
        <f t="shared" si="83"/>
        <v>45170</v>
      </c>
      <c r="V5360" s="698">
        <v>45171</v>
      </c>
      <c r="W5360">
        <v>4063.36</v>
      </c>
    </row>
    <row r="5361" spans="21:23">
      <c r="U5361" s="693">
        <f t="shared" si="83"/>
        <v>45170</v>
      </c>
      <c r="V5361" s="698">
        <v>45172</v>
      </c>
      <c r="W5361">
        <v>4063.36</v>
      </c>
    </row>
    <row r="5362" spans="21:23">
      <c r="U5362" s="693">
        <f t="shared" si="83"/>
        <v>45170</v>
      </c>
      <c r="V5362" s="698">
        <v>45173</v>
      </c>
      <c r="W5362">
        <v>4063.36</v>
      </c>
    </row>
    <row r="5363" spans="21:23">
      <c r="U5363" s="693">
        <f t="shared" si="83"/>
        <v>45170</v>
      </c>
      <c r="V5363" s="698">
        <v>45174</v>
      </c>
      <c r="W5363">
        <v>4063.36</v>
      </c>
    </row>
    <row r="5364" spans="21:23">
      <c r="U5364" s="693">
        <f t="shared" si="83"/>
        <v>45170</v>
      </c>
      <c r="V5364" s="698">
        <v>45175</v>
      </c>
      <c r="W5364">
        <v>4089.46</v>
      </c>
    </row>
    <row r="5365" spans="21:23">
      <c r="U5365" s="693">
        <f t="shared" si="83"/>
        <v>45170</v>
      </c>
      <c r="V5365" s="698">
        <v>45176</v>
      </c>
      <c r="W5365">
        <v>4093.04</v>
      </c>
    </row>
    <row r="5366" spans="21:23">
      <c r="U5366" s="693">
        <f t="shared" si="83"/>
        <v>45170</v>
      </c>
      <c r="V5366" s="698">
        <v>45177</v>
      </c>
      <c r="W5366">
        <v>4045.83</v>
      </c>
    </row>
    <row r="5367" spans="21:23">
      <c r="U5367" s="693">
        <f t="shared" si="83"/>
        <v>45170</v>
      </c>
      <c r="V5367" s="698">
        <v>45178</v>
      </c>
      <c r="W5367">
        <v>4012.26</v>
      </c>
    </row>
    <row r="5368" spans="21:23">
      <c r="U5368" s="693">
        <f t="shared" si="83"/>
        <v>45170</v>
      </c>
      <c r="V5368" s="698">
        <v>45179</v>
      </c>
      <c r="W5368">
        <v>4012.26</v>
      </c>
    </row>
    <row r="5369" spans="21:23">
      <c r="U5369" s="693">
        <f t="shared" si="83"/>
        <v>45170</v>
      </c>
      <c r="V5369" s="698">
        <v>45180</v>
      </c>
      <c r="W5369">
        <v>4012.26</v>
      </c>
    </row>
    <row r="5370" spans="21:23">
      <c r="U5370" s="693">
        <f t="shared" si="83"/>
        <v>45170</v>
      </c>
      <c r="V5370" s="698">
        <v>45181</v>
      </c>
      <c r="W5370">
        <v>3997.74</v>
      </c>
    </row>
    <row r="5371" spans="21:23">
      <c r="U5371" s="693">
        <f t="shared" si="83"/>
        <v>45170</v>
      </c>
      <c r="V5371" s="698">
        <v>45182</v>
      </c>
      <c r="W5371">
        <v>3993.53</v>
      </c>
    </row>
    <row r="5372" spans="21:23">
      <c r="U5372" s="693">
        <f t="shared" si="83"/>
        <v>45170</v>
      </c>
      <c r="V5372" s="698">
        <v>45183</v>
      </c>
      <c r="W5372">
        <v>3950.92</v>
      </c>
    </row>
    <row r="5373" spans="21:23">
      <c r="U5373" s="693">
        <f t="shared" si="83"/>
        <v>45170</v>
      </c>
      <c r="V5373" s="698">
        <v>45184</v>
      </c>
      <c r="W5373">
        <v>3926.59</v>
      </c>
    </row>
    <row r="5374" spans="21:23">
      <c r="U5374" s="693">
        <f t="shared" si="83"/>
        <v>45170</v>
      </c>
      <c r="V5374" s="698">
        <v>45185</v>
      </c>
      <c r="W5374">
        <v>3928.28</v>
      </c>
    </row>
    <row r="5375" spans="21:23">
      <c r="U5375" s="693">
        <f t="shared" si="83"/>
        <v>45170</v>
      </c>
      <c r="V5375" s="698">
        <v>45186</v>
      </c>
      <c r="W5375">
        <v>3928.28</v>
      </c>
    </row>
    <row r="5376" spans="21:23">
      <c r="U5376" s="693">
        <f t="shared" si="83"/>
        <v>45170</v>
      </c>
      <c r="V5376" s="698">
        <v>45187</v>
      </c>
      <c r="W5376">
        <v>3928.28</v>
      </c>
    </row>
    <row r="5377" spans="21:23">
      <c r="U5377" s="693">
        <f t="shared" si="83"/>
        <v>45170</v>
      </c>
      <c r="V5377" s="698">
        <v>45188</v>
      </c>
      <c r="W5377">
        <v>3905.95</v>
      </c>
    </row>
    <row r="5378" spans="21:23">
      <c r="U5378" s="693">
        <f t="shared" si="83"/>
        <v>45170</v>
      </c>
      <c r="V5378" s="698">
        <v>45189</v>
      </c>
      <c r="W5378">
        <v>3902.54</v>
      </c>
    </row>
    <row r="5379" spans="21:23">
      <c r="U5379" s="693">
        <f t="shared" ref="U5379:U5442" si="84">+DATE(YEAR(V5379),MONTH(V5379),1)</f>
        <v>45170</v>
      </c>
      <c r="V5379" s="698">
        <v>45190</v>
      </c>
      <c r="W5379">
        <v>3907.21</v>
      </c>
    </row>
    <row r="5380" spans="21:23">
      <c r="U5380" s="693">
        <f t="shared" si="84"/>
        <v>45170</v>
      </c>
      <c r="V5380" s="698">
        <v>45191</v>
      </c>
      <c r="W5380">
        <v>3948.25</v>
      </c>
    </row>
    <row r="5381" spans="21:23">
      <c r="U5381" s="693">
        <f t="shared" si="84"/>
        <v>45170</v>
      </c>
      <c r="V5381" s="698">
        <v>45192</v>
      </c>
      <c r="W5381">
        <v>3948.7</v>
      </c>
    </row>
    <row r="5382" spans="21:23">
      <c r="U5382" s="693">
        <f t="shared" si="84"/>
        <v>45170</v>
      </c>
      <c r="V5382" s="698">
        <v>45193</v>
      </c>
      <c r="W5382">
        <v>3948.7</v>
      </c>
    </row>
    <row r="5383" spans="21:23">
      <c r="U5383" s="693">
        <f t="shared" si="84"/>
        <v>45170</v>
      </c>
      <c r="V5383" s="698">
        <v>45194</v>
      </c>
      <c r="W5383">
        <v>3948.7</v>
      </c>
    </row>
    <row r="5384" spans="21:23">
      <c r="U5384" s="693">
        <f t="shared" si="84"/>
        <v>45170</v>
      </c>
      <c r="V5384" s="698">
        <v>45195</v>
      </c>
      <c r="W5384">
        <v>4052.54</v>
      </c>
    </row>
    <row r="5385" spans="21:23">
      <c r="U5385" s="693">
        <f t="shared" si="84"/>
        <v>45170</v>
      </c>
      <c r="V5385" s="698">
        <v>45196</v>
      </c>
      <c r="W5385">
        <v>4068.73</v>
      </c>
    </row>
    <row r="5386" spans="21:23">
      <c r="U5386" s="693">
        <f t="shared" si="84"/>
        <v>45170</v>
      </c>
      <c r="V5386" s="698">
        <v>45197</v>
      </c>
      <c r="W5386">
        <v>4093.6</v>
      </c>
    </row>
    <row r="5387" spans="21:23">
      <c r="U5387" s="693">
        <f t="shared" si="84"/>
        <v>45170</v>
      </c>
      <c r="V5387" s="698">
        <v>45198</v>
      </c>
      <c r="W5387">
        <v>4085.57</v>
      </c>
    </row>
    <row r="5388" spans="21:23">
      <c r="U5388" s="693">
        <f t="shared" si="84"/>
        <v>45170</v>
      </c>
      <c r="V5388" s="698">
        <v>45199</v>
      </c>
      <c r="W5388">
        <v>4053.76</v>
      </c>
    </row>
    <row r="5389" spans="21:23">
      <c r="U5389" s="693">
        <f t="shared" si="84"/>
        <v>45200</v>
      </c>
      <c r="V5389" s="698">
        <v>45200</v>
      </c>
      <c r="W5389">
        <v>4053.76</v>
      </c>
    </row>
    <row r="5390" spans="21:23">
      <c r="U5390" s="693">
        <f t="shared" si="84"/>
        <v>45200</v>
      </c>
      <c r="V5390" s="698">
        <v>45201</v>
      </c>
      <c r="W5390">
        <v>4053.76</v>
      </c>
    </row>
    <row r="5391" spans="21:23">
      <c r="U5391" s="693">
        <f t="shared" si="84"/>
        <v>45200</v>
      </c>
      <c r="V5391" s="698">
        <v>45202</v>
      </c>
      <c r="W5391">
        <v>4141.43</v>
      </c>
    </row>
    <row r="5392" spans="21:23">
      <c r="U5392" s="693">
        <f t="shared" si="84"/>
        <v>45200</v>
      </c>
      <c r="V5392" s="698">
        <v>45203</v>
      </c>
      <c r="W5392">
        <v>4187.01</v>
      </c>
    </row>
    <row r="5393" spans="21:23">
      <c r="U5393" s="693">
        <f t="shared" si="84"/>
        <v>45200</v>
      </c>
      <c r="V5393" s="698">
        <v>45204</v>
      </c>
      <c r="W5393">
        <v>4252.09</v>
      </c>
    </row>
    <row r="5394" spans="21:23">
      <c r="U5394" s="693">
        <f t="shared" si="84"/>
        <v>45200</v>
      </c>
      <c r="V5394" s="698">
        <v>45205</v>
      </c>
      <c r="W5394">
        <v>4359.3999999999996</v>
      </c>
    </row>
    <row r="5395" spans="21:23">
      <c r="U5395" s="693">
        <f t="shared" si="84"/>
        <v>45200</v>
      </c>
      <c r="V5395" s="698">
        <v>45206</v>
      </c>
      <c r="W5395">
        <v>4386.66</v>
      </c>
    </row>
    <row r="5396" spans="21:23">
      <c r="U5396" s="693">
        <f t="shared" si="84"/>
        <v>45200</v>
      </c>
      <c r="V5396" s="698">
        <v>45207</v>
      </c>
      <c r="W5396">
        <v>4386.66</v>
      </c>
    </row>
    <row r="5397" spans="21:23">
      <c r="U5397" s="693">
        <f t="shared" si="84"/>
        <v>45200</v>
      </c>
      <c r="V5397" s="698">
        <v>45208</v>
      </c>
      <c r="W5397">
        <v>4386.66</v>
      </c>
    </row>
    <row r="5398" spans="21:23">
      <c r="U5398" s="693">
        <f t="shared" si="84"/>
        <v>45200</v>
      </c>
      <c r="V5398" s="698">
        <v>45209</v>
      </c>
      <c r="W5398">
        <v>4386.66</v>
      </c>
    </row>
    <row r="5399" spans="21:23">
      <c r="U5399" s="693">
        <f t="shared" si="84"/>
        <v>45200</v>
      </c>
      <c r="V5399" s="698">
        <v>45210</v>
      </c>
      <c r="W5399">
        <v>4231.97</v>
      </c>
    </row>
    <row r="5400" spans="21:23">
      <c r="U5400" s="693">
        <f t="shared" si="84"/>
        <v>45200</v>
      </c>
      <c r="V5400" s="698">
        <v>45211</v>
      </c>
      <c r="W5400">
        <v>4212.5</v>
      </c>
    </row>
    <row r="5401" spans="21:23">
      <c r="U5401" s="693">
        <f t="shared" si="84"/>
        <v>45200</v>
      </c>
      <c r="V5401" s="698">
        <v>45212</v>
      </c>
      <c r="W5401">
        <v>4230.6099999999997</v>
      </c>
    </row>
    <row r="5402" spans="21:23">
      <c r="U5402" s="693">
        <f t="shared" si="84"/>
        <v>45200</v>
      </c>
      <c r="V5402" s="698">
        <v>45213</v>
      </c>
      <c r="W5402">
        <v>4249</v>
      </c>
    </row>
    <row r="5403" spans="21:23">
      <c r="U5403" s="693">
        <f t="shared" si="84"/>
        <v>45200</v>
      </c>
      <c r="V5403" s="698">
        <v>45214</v>
      </c>
      <c r="W5403">
        <v>4249</v>
      </c>
    </row>
    <row r="5404" spans="21:23">
      <c r="U5404" s="693">
        <f t="shared" si="84"/>
        <v>45200</v>
      </c>
      <c r="V5404" s="698">
        <v>45215</v>
      </c>
      <c r="W5404">
        <v>4249</v>
      </c>
    </row>
    <row r="5405" spans="21:23">
      <c r="U5405" s="693">
        <f t="shared" si="84"/>
        <v>45200</v>
      </c>
      <c r="V5405" s="698">
        <v>45216</v>
      </c>
      <c r="W5405">
        <v>4249</v>
      </c>
    </row>
    <row r="5406" spans="21:23">
      <c r="U5406" s="693">
        <f t="shared" si="84"/>
        <v>45200</v>
      </c>
      <c r="V5406" s="698">
        <v>45217</v>
      </c>
      <c r="W5406">
        <v>4222.09</v>
      </c>
    </row>
    <row r="5407" spans="21:23">
      <c r="U5407" s="693">
        <f t="shared" si="84"/>
        <v>45200</v>
      </c>
      <c r="V5407" s="698">
        <v>45218</v>
      </c>
      <c r="W5407">
        <v>4227.3900000000003</v>
      </c>
    </row>
    <row r="5408" spans="21:23">
      <c r="U5408" s="693">
        <f t="shared" si="84"/>
        <v>45200</v>
      </c>
      <c r="V5408" s="698">
        <v>45219</v>
      </c>
      <c r="W5408">
        <v>4249.71</v>
      </c>
    </row>
    <row r="5409" spans="21:23">
      <c r="U5409" s="693">
        <f t="shared" si="84"/>
        <v>45200</v>
      </c>
      <c r="V5409" s="698">
        <v>45220</v>
      </c>
      <c r="W5409">
        <v>4238.8500000000004</v>
      </c>
    </row>
    <row r="5410" spans="21:23">
      <c r="U5410" s="693">
        <f t="shared" si="84"/>
        <v>45200</v>
      </c>
      <c r="V5410" s="698">
        <v>45221</v>
      </c>
      <c r="W5410">
        <v>4238.8500000000004</v>
      </c>
    </row>
    <row r="5411" spans="21:23">
      <c r="U5411" s="693">
        <f t="shared" si="84"/>
        <v>45200</v>
      </c>
      <c r="V5411" s="698">
        <v>45222</v>
      </c>
      <c r="W5411">
        <v>4238.8500000000004</v>
      </c>
    </row>
    <row r="5412" spans="21:23">
      <c r="U5412" s="693">
        <f t="shared" si="84"/>
        <v>45200</v>
      </c>
      <c r="V5412" s="698">
        <v>45223</v>
      </c>
      <c r="W5412">
        <v>4221.3900000000003</v>
      </c>
    </row>
    <row r="5413" spans="21:23">
      <c r="U5413" s="693">
        <f t="shared" si="84"/>
        <v>45200</v>
      </c>
      <c r="V5413" s="698">
        <v>45224</v>
      </c>
      <c r="W5413">
        <v>4213.97</v>
      </c>
    </row>
    <row r="5414" spans="21:23">
      <c r="U5414" s="693">
        <f t="shared" si="84"/>
        <v>45200</v>
      </c>
      <c r="V5414" s="698">
        <v>45225</v>
      </c>
      <c r="W5414">
        <v>4201.53</v>
      </c>
    </row>
    <row r="5415" spans="21:23">
      <c r="U5415" s="693">
        <f t="shared" si="84"/>
        <v>45200</v>
      </c>
      <c r="V5415" s="698">
        <v>45226</v>
      </c>
      <c r="W5415">
        <v>4154.9399999999996</v>
      </c>
    </row>
    <row r="5416" spans="21:23">
      <c r="U5416" s="693">
        <f t="shared" si="84"/>
        <v>45200</v>
      </c>
      <c r="V5416" s="698">
        <v>45227</v>
      </c>
      <c r="W5416">
        <v>4120.62</v>
      </c>
    </row>
    <row r="5417" spans="21:23">
      <c r="U5417" s="693">
        <f t="shared" si="84"/>
        <v>45200</v>
      </c>
      <c r="V5417" s="698">
        <v>45228</v>
      </c>
      <c r="W5417">
        <v>4120.62</v>
      </c>
    </row>
    <row r="5418" spans="21:23">
      <c r="U5418" s="693">
        <f t="shared" si="84"/>
        <v>45200</v>
      </c>
      <c r="V5418" s="698">
        <v>45229</v>
      </c>
      <c r="W5418">
        <v>4120.62</v>
      </c>
    </row>
    <row r="5419" spans="21:23">
      <c r="U5419" s="693">
        <f t="shared" si="84"/>
        <v>45200</v>
      </c>
      <c r="V5419" s="698">
        <v>45230</v>
      </c>
      <c r="W5419">
        <v>4060.83</v>
      </c>
    </row>
    <row r="5420" spans="21:23">
      <c r="U5420" s="693">
        <f t="shared" si="84"/>
        <v>45231</v>
      </c>
      <c r="V5420" s="698">
        <v>45231</v>
      </c>
      <c r="W5420">
        <v>4114.29</v>
      </c>
    </row>
    <row r="5421" spans="21:23">
      <c r="U5421" s="693">
        <f t="shared" si="84"/>
        <v>45231</v>
      </c>
      <c r="V5421" s="698">
        <v>45232</v>
      </c>
      <c r="W5421">
        <v>4117.71</v>
      </c>
    </row>
    <row r="5422" spans="21:23">
      <c r="U5422" s="693">
        <f t="shared" si="84"/>
        <v>45231</v>
      </c>
      <c r="V5422" s="698">
        <v>45233</v>
      </c>
      <c r="W5422">
        <v>4047.11</v>
      </c>
    </row>
    <row r="5423" spans="21:23">
      <c r="U5423" s="693">
        <f t="shared" si="84"/>
        <v>45231</v>
      </c>
      <c r="V5423" s="698">
        <v>45234</v>
      </c>
      <c r="W5423">
        <v>3975.09</v>
      </c>
    </row>
    <row r="5424" spans="21:23">
      <c r="U5424" s="693">
        <f t="shared" si="84"/>
        <v>45231</v>
      </c>
      <c r="V5424" s="698">
        <v>45235</v>
      </c>
      <c r="W5424">
        <v>3975.09</v>
      </c>
    </row>
    <row r="5425" spans="21:23">
      <c r="U5425" s="693">
        <f t="shared" si="84"/>
        <v>45231</v>
      </c>
      <c r="V5425" s="698">
        <v>45236</v>
      </c>
      <c r="W5425">
        <v>3975.09</v>
      </c>
    </row>
    <row r="5426" spans="21:23">
      <c r="U5426" s="693">
        <f t="shared" si="84"/>
        <v>45231</v>
      </c>
      <c r="V5426" s="698">
        <v>45237</v>
      </c>
      <c r="W5426">
        <v>3975.09</v>
      </c>
    </row>
    <row r="5427" spans="21:23">
      <c r="U5427" s="693">
        <f t="shared" si="84"/>
        <v>45231</v>
      </c>
      <c r="V5427" s="698">
        <v>45238</v>
      </c>
      <c r="W5427">
        <v>4005.06</v>
      </c>
    </row>
    <row r="5428" spans="21:23">
      <c r="U5428" s="693">
        <f t="shared" si="84"/>
        <v>45231</v>
      </c>
      <c r="V5428" s="698">
        <v>45239</v>
      </c>
      <c r="W5428">
        <v>4065.79</v>
      </c>
    </row>
    <row r="5429" spans="21:23">
      <c r="U5429" s="693">
        <f t="shared" si="84"/>
        <v>45231</v>
      </c>
      <c r="V5429" s="698">
        <v>45240</v>
      </c>
      <c r="W5429">
        <v>4056.94</v>
      </c>
    </row>
    <row r="5430" spans="21:23">
      <c r="U5430" s="693">
        <f t="shared" si="84"/>
        <v>45231</v>
      </c>
      <c r="V5430" s="698">
        <v>45241</v>
      </c>
      <c r="W5430">
        <v>4037.19</v>
      </c>
    </row>
    <row r="5431" spans="21:23">
      <c r="U5431" s="693">
        <f t="shared" si="84"/>
        <v>45231</v>
      </c>
      <c r="V5431" s="698">
        <v>45242</v>
      </c>
      <c r="W5431">
        <v>4037.19</v>
      </c>
    </row>
    <row r="5432" spans="21:23">
      <c r="U5432" s="693">
        <f t="shared" si="84"/>
        <v>45231</v>
      </c>
      <c r="V5432" s="698">
        <v>45243</v>
      </c>
      <c r="W5432">
        <v>4037.19</v>
      </c>
    </row>
    <row r="5433" spans="21:23">
      <c r="U5433" s="693">
        <f t="shared" si="84"/>
        <v>45231</v>
      </c>
      <c r="V5433" s="698">
        <v>45244</v>
      </c>
      <c r="W5433">
        <v>4037.19</v>
      </c>
    </row>
    <row r="5434" spans="21:23">
      <c r="U5434" s="693">
        <f t="shared" si="84"/>
        <v>45231</v>
      </c>
      <c r="V5434" s="698">
        <v>45245</v>
      </c>
      <c r="W5434">
        <v>3963.57</v>
      </c>
    </row>
    <row r="5435" spans="21:23">
      <c r="U5435" s="693">
        <f t="shared" si="84"/>
        <v>45231</v>
      </c>
      <c r="V5435" s="698">
        <v>45246</v>
      </c>
      <c r="W5435">
        <v>3976.84</v>
      </c>
    </row>
    <row r="5436" spans="21:23">
      <c r="U5436" s="693">
        <f t="shared" si="84"/>
        <v>45231</v>
      </c>
      <c r="V5436" s="698">
        <v>45247</v>
      </c>
      <c r="W5436">
        <v>4077.44</v>
      </c>
    </row>
    <row r="5437" spans="21:23">
      <c r="U5437" s="693">
        <f t="shared" si="84"/>
        <v>45231</v>
      </c>
      <c r="V5437" s="698">
        <v>45248</v>
      </c>
      <c r="W5437">
        <v>4116.59</v>
      </c>
    </row>
    <row r="5438" spans="21:23">
      <c r="U5438" s="693">
        <f t="shared" si="84"/>
        <v>45231</v>
      </c>
      <c r="V5438" s="698">
        <v>45249</v>
      </c>
      <c r="W5438">
        <v>4116.59</v>
      </c>
    </row>
    <row r="5439" spans="21:23">
      <c r="U5439" s="693">
        <f t="shared" si="84"/>
        <v>45231</v>
      </c>
      <c r="V5439" s="698">
        <v>45250</v>
      </c>
      <c r="W5439">
        <v>4116.59</v>
      </c>
    </row>
    <row r="5440" spans="21:23">
      <c r="U5440" s="693">
        <f t="shared" si="84"/>
        <v>45231</v>
      </c>
      <c r="V5440" s="698">
        <v>45251</v>
      </c>
      <c r="W5440">
        <v>4033.83</v>
      </c>
    </row>
    <row r="5441" spans="21:23">
      <c r="U5441" s="693">
        <f t="shared" si="84"/>
        <v>45231</v>
      </c>
      <c r="V5441" s="698">
        <v>45252</v>
      </c>
      <c r="W5441">
        <v>4060.15</v>
      </c>
    </row>
    <row r="5442" spans="21:23">
      <c r="U5442" s="693">
        <f t="shared" si="84"/>
        <v>45231</v>
      </c>
      <c r="V5442" s="698">
        <v>45253</v>
      </c>
      <c r="W5442">
        <v>4092.33</v>
      </c>
    </row>
    <row r="5443" spans="21:23">
      <c r="U5443" s="693">
        <f t="shared" ref="U5443:U5506" si="85">+DATE(YEAR(V5443),MONTH(V5443),1)</f>
        <v>45231</v>
      </c>
      <c r="V5443" s="698">
        <v>45254</v>
      </c>
      <c r="W5443">
        <v>4092.33</v>
      </c>
    </row>
    <row r="5444" spans="21:23">
      <c r="U5444" s="693">
        <f t="shared" si="85"/>
        <v>45231</v>
      </c>
      <c r="V5444" s="698">
        <v>45255</v>
      </c>
      <c r="W5444">
        <v>4044.51</v>
      </c>
    </row>
    <row r="5445" spans="21:23">
      <c r="U5445" s="693">
        <f t="shared" si="85"/>
        <v>45231</v>
      </c>
      <c r="V5445" s="698">
        <v>45256</v>
      </c>
      <c r="W5445">
        <v>4044.51</v>
      </c>
    </row>
    <row r="5446" spans="21:23">
      <c r="U5446" s="693">
        <f t="shared" si="85"/>
        <v>45231</v>
      </c>
      <c r="V5446" s="698">
        <v>45257</v>
      </c>
      <c r="W5446">
        <v>4044.51</v>
      </c>
    </row>
    <row r="5447" spans="21:23">
      <c r="U5447" s="693">
        <f t="shared" si="85"/>
        <v>45231</v>
      </c>
      <c r="V5447" s="698">
        <v>45258</v>
      </c>
      <c r="W5447">
        <v>3989.89</v>
      </c>
    </row>
    <row r="5448" spans="21:23">
      <c r="U5448" s="693">
        <f t="shared" si="85"/>
        <v>45231</v>
      </c>
      <c r="V5448" s="698">
        <v>45259</v>
      </c>
      <c r="W5448">
        <v>3957.77</v>
      </c>
    </row>
    <row r="5449" spans="21:23">
      <c r="U5449" s="693">
        <f t="shared" si="85"/>
        <v>45231</v>
      </c>
      <c r="V5449" s="698">
        <v>45260</v>
      </c>
      <c r="W5449">
        <v>3980.67</v>
      </c>
    </row>
    <row r="5450" spans="21:23">
      <c r="U5450" s="693">
        <f t="shared" si="85"/>
        <v>45261</v>
      </c>
      <c r="V5450" s="698">
        <v>45261</v>
      </c>
      <c r="W5450">
        <v>4045.22</v>
      </c>
    </row>
    <row r="5451" spans="21:23">
      <c r="U5451" s="693">
        <f t="shared" si="85"/>
        <v>45261</v>
      </c>
      <c r="V5451" s="698">
        <v>45262</v>
      </c>
      <c r="W5451">
        <v>3983.15</v>
      </c>
    </row>
    <row r="5452" spans="21:23">
      <c r="U5452" s="693">
        <f t="shared" si="85"/>
        <v>45261</v>
      </c>
      <c r="V5452" s="698">
        <v>45263</v>
      </c>
      <c r="W5452">
        <v>3983.15</v>
      </c>
    </row>
    <row r="5453" spans="21:23">
      <c r="U5453" s="693">
        <f t="shared" si="85"/>
        <v>45261</v>
      </c>
      <c r="V5453" s="698">
        <v>45264</v>
      </c>
      <c r="W5453">
        <v>3983.15</v>
      </c>
    </row>
    <row r="5454" spans="21:23">
      <c r="U5454" s="693">
        <f t="shared" si="85"/>
        <v>45261</v>
      </c>
      <c r="V5454" s="698">
        <v>45265</v>
      </c>
      <c r="W5454">
        <v>3999.91</v>
      </c>
    </row>
    <row r="5455" spans="21:23">
      <c r="U5455" s="693">
        <f t="shared" si="85"/>
        <v>45261</v>
      </c>
      <c r="V5455" s="698">
        <v>45266</v>
      </c>
      <c r="W5455">
        <v>4023.21</v>
      </c>
    </row>
    <row r="5456" spans="21:23">
      <c r="U5456" s="693">
        <f t="shared" si="85"/>
        <v>45261</v>
      </c>
      <c r="V5456" s="698">
        <v>45267</v>
      </c>
      <c r="W5456">
        <v>3989.55</v>
      </c>
    </row>
    <row r="5457" spans="21:23">
      <c r="U5457" s="693">
        <f t="shared" si="85"/>
        <v>45261</v>
      </c>
      <c r="V5457" s="698">
        <v>45268</v>
      </c>
      <c r="W5457">
        <v>3998.51</v>
      </c>
    </row>
    <row r="5458" spans="21:23">
      <c r="U5458" s="693">
        <f t="shared" si="85"/>
        <v>45261</v>
      </c>
      <c r="V5458" s="698">
        <v>45269</v>
      </c>
      <c r="W5458">
        <v>3998.51</v>
      </c>
    </row>
    <row r="5459" spans="21:23">
      <c r="U5459" s="693">
        <f t="shared" si="85"/>
        <v>45261</v>
      </c>
      <c r="V5459" s="698">
        <v>45270</v>
      </c>
      <c r="W5459">
        <v>3998.51</v>
      </c>
    </row>
    <row r="5460" spans="21:23">
      <c r="U5460" s="693">
        <f t="shared" si="85"/>
        <v>45261</v>
      </c>
      <c r="V5460" s="698">
        <v>45271</v>
      </c>
      <c r="W5460">
        <v>3998.51</v>
      </c>
    </row>
    <row r="5461" spans="21:23">
      <c r="U5461" s="693">
        <f t="shared" si="85"/>
        <v>45261</v>
      </c>
      <c r="V5461" s="698">
        <v>45272</v>
      </c>
      <c r="W5461">
        <v>3982.5</v>
      </c>
    </row>
    <row r="5462" spans="21:23">
      <c r="U5462" s="693">
        <f t="shared" si="85"/>
        <v>45261</v>
      </c>
      <c r="V5462" s="698">
        <v>45273</v>
      </c>
      <c r="W5462">
        <v>3990.88</v>
      </c>
    </row>
    <row r="5463" spans="21:23">
      <c r="U5463" s="693">
        <f t="shared" si="85"/>
        <v>45261</v>
      </c>
      <c r="V5463" s="698">
        <v>45274</v>
      </c>
      <c r="W5463">
        <v>3999.43</v>
      </c>
    </row>
    <row r="5464" spans="21:23">
      <c r="U5464" s="693">
        <f t="shared" si="85"/>
        <v>45261</v>
      </c>
      <c r="V5464" s="698">
        <v>45275</v>
      </c>
      <c r="W5464">
        <v>3955.88</v>
      </c>
    </row>
    <row r="5465" spans="21:23">
      <c r="U5465" s="693">
        <f t="shared" si="85"/>
        <v>45261</v>
      </c>
      <c r="V5465" s="698">
        <v>45276</v>
      </c>
      <c r="W5465">
        <v>3956.76</v>
      </c>
    </row>
    <row r="5466" spans="21:23">
      <c r="U5466" s="693">
        <f t="shared" si="85"/>
        <v>45261</v>
      </c>
      <c r="V5466" s="698">
        <v>45277</v>
      </c>
      <c r="W5466">
        <v>3956.76</v>
      </c>
    </row>
    <row r="5467" spans="21:23">
      <c r="U5467" s="693">
        <f t="shared" si="85"/>
        <v>45261</v>
      </c>
      <c r="V5467" s="698">
        <v>45278</v>
      </c>
      <c r="W5467">
        <v>3956.76</v>
      </c>
    </row>
    <row r="5468" spans="21:23">
      <c r="U5468" s="693">
        <f t="shared" si="85"/>
        <v>45261</v>
      </c>
      <c r="V5468" s="698">
        <v>45279</v>
      </c>
      <c r="W5468">
        <v>3932.59</v>
      </c>
    </row>
    <row r="5469" spans="21:23">
      <c r="U5469" s="693">
        <f t="shared" si="85"/>
        <v>45261</v>
      </c>
      <c r="V5469" s="698">
        <v>45280</v>
      </c>
      <c r="W5469">
        <v>3925.77</v>
      </c>
    </row>
    <row r="5470" spans="21:23">
      <c r="U5470" s="693">
        <f t="shared" si="85"/>
        <v>45261</v>
      </c>
      <c r="V5470" s="698">
        <v>45281</v>
      </c>
      <c r="W5470">
        <v>3948.54</v>
      </c>
    </row>
    <row r="5471" spans="21:23">
      <c r="U5471" s="693">
        <f t="shared" si="85"/>
        <v>45261</v>
      </c>
      <c r="V5471" s="698">
        <v>45282</v>
      </c>
      <c r="W5471">
        <v>3943.03</v>
      </c>
    </row>
    <row r="5472" spans="21:23">
      <c r="U5472" s="693">
        <f t="shared" si="85"/>
        <v>45261</v>
      </c>
      <c r="V5472" s="698">
        <v>45283</v>
      </c>
      <c r="W5472">
        <v>3915.43</v>
      </c>
    </row>
    <row r="5473" spans="21:23">
      <c r="U5473" s="693">
        <f t="shared" si="85"/>
        <v>45261</v>
      </c>
      <c r="V5473" s="698">
        <v>45284</v>
      </c>
      <c r="W5473">
        <v>3915.43</v>
      </c>
    </row>
    <row r="5474" spans="21:23">
      <c r="U5474" s="693">
        <f t="shared" si="85"/>
        <v>45261</v>
      </c>
      <c r="V5474" s="698">
        <v>45285</v>
      </c>
      <c r="W5474">
        <v>3915.43</v>
      </c>
    </row>
    <row r="5475" spans="21:23">
      <c r="U5475" s="693">
        <f t="shared" si="85"/>
        <v>45261</v>
      </c>
      <c r="V5475" s="698">
        <v>45286</v>
      </c>
      <c r="W5475">
        <v>3915.43</v>
      </c>
    </row>
    <row r="5476" spans="21:23">
      <c r="U5476" s="693">
        <f t="shared" si="85"/>
        <v>45261</v>
      </c>
      <c r="V5476" s="698">
        <v>45287</v>
      </c>
      <c r="W5476">
        <v>3871.45</v>
      </c>
    </row>
    <row r="5477" spans="21:23">
      <c r="U5477" s="693">
        <f t="shared" si="85"/>
        <v>45261</v>
      </c>
      <c r="V5477" s="698">
        <v>45288</v>
      </c>
      <c r="W5477">
        <v>3844.81</v>
      </c>
    </row>
    <row r="5478" spans="21:23">
      <c r="U5478" s="693">
        <f t="shared" si="85"/>
        <v>45261</v>
      </c>
      <c r="V5478" s="698">
        <v>45289</v>
      </c>
      <c r="W5478">
        <v>3822.05</v>
      </c>
    </row>
    <row r="5479" spans="21:23">
      <c r="U5479" s="693">
        <f t="shared" si="85"/>
        <v>45261</v>
      </c>
      <c r="V5479" s="698">
        <v>45290</v>
      </c>
      <c r="W5479">
        <v>3822.05</v>
      </c>
    </row>
    <row r="5480" spans="21:23">
      <c r="U5480" s="693">
        <f t="shared" si="85"/>
        <v>45261</v>
      </c>
      <c r="V5480" s="698">
        <v>45291</v>
      </c>
      <c r="W5480">
        <v>3822.05</v>
      </c>
    </row>
    <row r="5481" spans="21:23">
      <c r="U5481" s="693">
        <f t="shared" si="85"/>
        <v>45292</v>
      </c>
      <c r="V5481" s="698">
        <v>45292</v>
      </c>
      <c r="W5481">
        <v>3822.05</v>
      </c>
    </row>
    <row r="5482" spans="21:23">
      <c r="U5482" s="693">
        <f t="shared" si="85"/>
        <v>45292</v>
      </c>
      <c r="V5482" s="698">
        <v>45293</v>
      </c>
      <c r="W5482">
        <v>3822.05</v>
      </c>
    </row>
    <row r="5483" spans="21:23">
      <c r="U5483" s="693">
        <f t="shared" si="85"/>
        <v>45292</v>
      </c>
      <c r="V5483" s="698">
        <v>45294</v>
      </c>
      <c r="W5483">
        <v>3895.53</v>
      </c>
    </row>
    <row r="5484" spans="21:23">
      <c r="U5484" s="693">
        <f t="shared" si="85"/>
        <v>45292</v>
      </c>
      <c r="V5484" s="698">
        <v>45295</v>
      </c>
      <c r="W5484">
        <v>3914.6</v>
      </c>
    </row>
    <row r="5485" spans="21:23">
      <c r="U5485" s="693">
        <f t="shared" si="85"/>
        <v>45292</v>
      </c>
      <c r="V5485" s="698">
        <v>45296</v>
      </c>
      <c r="W5485">
        <v>3927.64</v>
      </c>
    </row>
    <row r="5486" spans="21:23">
      <c r="U5486" s="693">
        <f t="shared" si="85"/>
        <v>45292</v>
      </c>
      <c r="V5486" s="698">
        <v>45297</v>
      </c>
      <c r="W5486">
        <v>3912.93</v>
      </c>
    </row>
    <row r="5487" spans="21:23">
      <c r="U5487" s="693">
        <f t="shared" si="85"/>
        <v>45292</v>
      </c>
      <c r="V5487" s="698">
        <v>45298</v>
      </c>
      <c r="W5487">
        <v>3912.93</v>
      </c>
    </row>
    <row r="5488" spans="21:23">
      <c r="U5488" s="693">
        <f t="shared" si="85"/>
        <v>45292</v>
      </c>
      <c r="V5488" s="698">
        <v>45299</v>
      </c>
      <c r="W5488">
        <v>3912.93</v>
      </c>
    </row>
    <row r="5489" spans="21:23">
      <c r="U5489" s="693">
        <f t="shared" si="85"/>
        <v>45292</v>
      </c>
      <c r="V5489" s="698">
        <v>45300</v>
      </c>
      <c r="W5489">
        <v>3912.93</v>
      </c>
    </row>
    <row r="5490" spans="21:23">
      <c r="U5490" s="693">
        <f t="shared" si="85"/>
        <v>45292</v>
      </c>
      <c r="V5490" s="698">
        <v>45301</v>
      </c>
      <c r="W5490">
        <v>3934.13</v>
      </c>
    </row>
    <row r="5491" spans="21:23">
      <c r="U5491" s="693">
        <f t="shared" si="85"/>
        <v>45292</v>
      </c>
      <c r="V5491" s="698">
        <v>45302</v>
      </c>
      <c r="W5491">
        <v>3946.39</v>
      </c>
    </row>
    <row r="5492" spans="21:23">
      <c r="U5492" s="693">
        <f t="shared" si="85"/>
        <v>45292</v>
      </c>
      <c r="V5492" s="698">
        <v>45303</v>
      </c>
      <c r="W5492">
        <v>3929.79</v>
      </c>
    </row>
    <row r="5493" spans="21:23">
      <c r="U5493" s="693">
        <f t="shared" si="85"/>
        <v>45292</v>
      </c>
      <c r="V5493" s="698">
        <v>45304</v>
      </c>
      <c r="W5493">
        <v>3901.38</v>
      </c>
    </row>
    <row r="5494" spans="21:23">
      <c r="U5494" s="693">
        <f t="shared" si="85"/>
        <v>45292</v>
      </c>
      <c r="V5494" s="698">
        <v>45305</v>
      </c>
      <c r="W5494">
        <v>3901.38</v>
      </c>
    </row>
    <row r="5495" spans="21:23">
      <c r="U5495" s="693">
        <f t="shared" si="85"/>
        <v>45292</v>
      </c>
      <c r="V5495" s="698">
        <v>45306</v>
      </c>
      <c r="W5495">
        <v>3901.38</v>
      </c>
    </row>
    <row r="5496" spans="21:23">
      <c r="U5496" s="693">
        <f t="shared" si="85"/>
        <v>45292</v>
      </c>
      <c r="V5496" s="698">
        <v>45307</v>
      </c>
      <c r="W5496">
        <v>3901.38</v>
      </c>
    </row>
    <row r="5497" spans="21:23">
      <c r="U5497" s="693">
        <f t="shared" si="85"/>
        <v>45292</v>
      </c>
      <c r="V5497" s="698">
        <v>45308</v>
      </c>
      <c r="W5497">
        <v>3940.85</v>
      </c>
    </row>
    <row r="5498" spans="21:23">
      <c r="U5498" s="693">
        <f t="shared" si="85"/>
        <v>45292</v>
      </c>
      <c r="V5498" s="698">
        <v>45309</v>
      </c>
      <c r="W5498">
        <v>3969.5</v>
      </c>
    </row>
    <row r="5499" spans="21:23">
      <c r="U5499" s="693">
        <f t="shared" si="85"/>
        <v>45292</v>
      </c>
      <c r="V5499" s="698">
        <v>45310</v>
      </c>
      <c r="W5499">
        <v>3939.89</v>
      </c>
    </row>
    <row r="5500" spans="21:23">
      <c r="U5500" s="693">
        <f t="shared" si="85"/>
        <v>45292</v>
      </c>
      <c r="V5500" s="698">
        <v>45311</v>
      </c>
      <c r="W5500">
        <v>3916.39</v>
      </c>
    </row>
    <row r="5501" spans="21:23">
      <c r="U5501" s="693">
        <f t="shared" si="85"/>
        <v>45292</v>
      </c>
      <c r="V5501" s="698">
        <v>45312</v>
      </c>
      <c r="W5501">
        <v>3916.39</v>
      </c>
    </row>
    <row r="5502" spans="21:23">
      <c r="U5502" s="693">
        <f t="shared" si="85"/>
        <v>45292</v>
      </c>
      <c r="V5502" s="698">
        <v>45313</v>
      </c>
      <c r="W5502">
        <v>3916.39</v>
      </c>
    </row>
    <row r="5503" spans="21:23">
      <c r="U5503" s="693">
        <f t="shared" si="85"/>
        <v>45292</v>
      </c>
      <c r="V5503" s="698">
        <v>45314</v>
      </c>
      <c r="W5503">
        <v>3904.49</v>
      </c>
    </row>
    <row r="5504" spans="21:23">
      <c r="U5504" s="693">
        <f t="shared" si="85"/>
        <v>45292</v>
      </c>
      <c r="V5504" s="698">
        <v>45315</v>
      </c>
      <c r="W5504">
        <v>3934.62</v>
      </c>
    </row>
    <row r="5505" spans="21:23">
      <c r="U5505" s="693">
        <f t="shared" si="85"/>
        <v>45292</v>
      </c>
      <c r="V5505" s="698">
        <v>45316</v>
      </c>
      <c r="W5505">
        <v>3929.95</v>
      </c>
    </row>
    <row r="5506" spans="21:23">
      <c r="U5506" s="693">
        <f t="shared" si="85"/>
        <v>45292</v>
      </c>
      <c r="V5506" s="698">
        <v>45317</v>
      </c>
      <c r="W5506">
        <v>3932.96</v>
      </c>
    </row>
    <row r="5507" spans="21:23">
      <c r="U5507" s="693">
        <f t="shared" ref="U5507:U5570" si="86">+DATE(YEAR(V5507),MONTH(V5507),1)</f>
        <v>45292</v>
      </c>
      <c r="V5507" s="698">
        <v>45318</v>
      </c>
      <c r="W5507">
        <v>3925.26</v>
      </c>
    </row>
    <row r="5508" spans="21:23">
      <c r="U5508" s="693">
        <f t="shared" si="86"/>
        <v>45292</v>
      </c>
      <c r="V5508" s="698">
        <v>45319</v>
      </c>
      <c r="W5508">
        <v>3925.26</v>
      </c>
    </row>
    <row r="5509" spans="21:23">
      <c r="U5509" s="693">
        <f t="shared" si="86"/>
        <v>45292</v>
      </c>
      <c r="V5509" s="698">
        <v>45320</v>
      </c>
      <c r="W5509">
        <v>3925.26</v>
      </c>
    </row>
    <row r="5510" spans="21:23">
      <c r="U5510" s="693">
        <f t="shared" si="86"/>
        <v>45292</v>
      </c>
      <c r="V5510" s="698">
        <v>45321</v>
      </c>
      <c r="W5510">
        <v>3918.93</v>
      </c>
    </row>
    <row r="5511" spans="21:23">
      <c r="U5511" s="693">
        <f t="shared" si="86"/>
        <v>45292</v>
      </c>
      <c r="V5511" s="698">
        <v>45322</v>
      </c>
      <c r="W5511">
        <v>3925.6</v>
      </c>
    </row>
    <row r="5512" spans="21:23">
      <c r="U5512" s="693">
        <f t="shared" si="86"/>
        <v>45323</v>
      </c>
      <c r="V5512" s="698">
        <v>45323</v>
      </c>
      <c r="W5512">
        <v>3915.56</v>
      </c>
    </row>
    <row r="5513" spans="21:23">
      <c r="U5513" s="693">
        <f t="shared" si="86"/>
        <v>45323</v>
      </c>
      <c r="V5513" s="698">
        <v>45324</v>
      </c>
      <c r="W5513">
        <v>3889.05</v>
      </c>
    </row>
    <row r="5514" spans="21:23">
      <c r="U5514" s="693">
        <f t="shared" si="86"/>
        <v>45323</v>
      </c>
      <c r="V5514" s="698">
        <v>45325</v>
      </c>
      <c r="W5514">
        <v>3928.11</v>
      </c>
    </row>
    <row r="5515" spans="21:23">
      <c r="U5515" s="693">
        <f t="shared" si="86"/>
        <v>45323</v>
      </c>
      <c r="V5515" s="698">
        <v>45326</v>
      </c>
      <c r="W5515">
        <v>3928.11</v>
      </c>
    </row>
    <row r="5516" spans="21:23">
      <c r="U5516" s="693">
        <f t="shared" si="86"/>
        <v>45323</v>
      </c>
      <c r="V5516" s="698">
        <v>45327</v>
      </c>
      <c r="W5516">
        <v>3928.11</v>
      </c>
    </row>
    <row r="5517" spans="21:23">
      <c r="U5517" s="693">
        <f t="shared" si="86"/>
        <v>45323</v>
      </c>
      <c r="V5517" s="698">
        <v>45328</v>
      </c>
      <c r="W5517">
        <v>3975.74</v>
      </c>
    </row>
    <row r="5518" spans="21:23">
      <c r="U5518" s="693">
        <f t="shared" si="86"/>
        <v>45323</v>
      </c>
      <c r="V5518" s="698">
        <v>45329</v>
      </c>
      <c r="W5518">
        <v>3950.57</v>
      </c>
    </row>
    <row r="5519" spans="21:23">
      <c r="U5519" s="693">
        <f t="shared" si="86"/>
        <v>45323</v>
      </c>
      <c r="V5519" s="698">
        <v>45330</v>
      </c>
      <c r="W5519">
        <v>3962.23</v>
      </c>
    </row>
    <row r="5520" spans="21:23">
      <c r="U5520" s="693">
        <f t="shared" si="86"/>
        <v>45323</v>
      </c>
      <c r="V5520" s="698">
        <v>45331</v>
      </c>
      <c r="W5520">
        <v>3954.68</v>
      </c>
    </row>
    <row r="5521" spans="21:23">
      <c r="U5521" s="693">
        <f t="shared" si="86"/>
        <v>45323</v>
      </c>
      <c r="V5521" s="698">
        <v>45332</v>
      </c>
      <c r="W5521">
        <v>3926.08</v>
      </c>
    </row>
    <row r="5522" spans="21:23">
      <c r="U5522" s="693">
        <f t="shared" si="86"/>
        <v>45323</v>
      </c>
      <c r="V5522" s="698">
        <v>45333</v>
      </c>
      <c r="W5522">
        <v>3926.08</v>
      </c>
    </row>
    <row r="5523" spans="21:23">
      <c r="U5523" s="693">
        <f t="shared" si="86"/>
        <v>45323</v>
      </c>
      <c r="V5523" s="698">
        <v>45334</v>
      </c>
      <c r="W5523">
        <v>3926.08</v>
      </c>
    </row>
    <row r="5524" spans="21:23">
      <c r="U5524" s="693">
        <f t="shared" si="86"/>
        <v>45323</v>
      </c>
      <c r="V5524" s="698">
        <v>45335</v>
      </c>
      <c r="W5524">
        <v>3915.28</v>
      </c>
    </row>
    <row r="5525" spans="21:23">
      <c r="U5525" s="693">
        <f t="shared" si="86"/>
        <v>45323</v>
      </c>
      <c r="V5525" s="698">
        <v>45336</v>
      </c>
      <c r="W5525">
        <v>3929</v>
      </c>
    </row>
    <row r="5526" spans="21:23">
      <c r="U5526" s="693">
        <f t="shared" si="86"/>
        <v>45323</v>
      </c>
      <c r="V5526" s="698">
        <v>45337</v>
      </c>
      <c r="W5526">
        <v>3916.61</v>
      </c>
    </row>
    <row r="5527" spans="21:23">
      <c r="U5527" s="693">
        <f t="shared" si="86"/>
        <v>45323</v>
      </c>
      <c r="V5527" s="698">
        <v>45338</v>
      </c>
      <c r="W5527">
        <v>3909.89</v>
      </c>
    </row>
    <row r="5528" spans="21:23">
      <c r="U5528" s="693">
        <f t="shared" si="86"/>
        <v>45323</v>
      </c>
      <c r="V5528" s="698">
        <v>45339</v>
      </c>
      <c r="W5528">
        <v>3917.84</v>
      </c>
    </row>
    <row r="5529" spans="21:23">
      <c r="U5529" s="693">
        <f t="shared" si="86"/>
        <v>45323</v>
      </c>
      <c r="V5529" s="698">
        <v>45340</v>
      </c>
      <c r="W5529">
        <v>3917.84</v>
      </c>
    </row>
    <row r="5530" spans="21:23">
      <c r="U5530" s="693">
        <f t="shared" si="86"/>
        <v>45323</v>
      </c>
      <c r="V5530" s="698">
        <v>45341</v>
      </c>
      <c r="W5530">
        <v>3917.84</v>
      </c>
    </row>
    <row r="5531" spans="21:23">
      <c r="U5531" s="693">
        <f t="shared" si="86"/>
        <v>45323</v>
      </c>
      <c r="V5531" s="698">
        <v>45342</v>
      </c>
      <c r="W5531">
        <v>3917.84</v>
      </c>
    </row>
    <row r="5532" spans="21:23">
      <c r="U5532" s="693">
        <f t="shared" si="86"/>
        <v>45323</v>
      </c>
      <c r="V5532" s="698">
        <v>45343</v>
      </c>
      <c r="W5532">
        <v>3912.97</v>
      </c>
    </row>
    <row r="5533" spans="21:23">
      <c r="U5533" s="693">
        <f t="shared" si="86"/>
        <v>45323</v>
      </c>
      <c r="V5533" s="698">
        <v>45344</v>
      </c>
      <c r="W5533">
        <v>3930.26</v>
      </c>
    </row>
    <row r="5534" spans="21:23">
      <c r="U5534" s="693">
        <f t="shared" si="86"/>
        <v>45323</v>
      </c>
      <c r="V5534" s="698">
        <v>45345</v>
      </c>
      <c r="W5534">
        <v>3935.64</v>
      </c>
    </row>
    <row r="5535" spans="21:23">
      <c r="U5535" s="693">
        <f t="shared" si="86"/>
        <v>45323</v>
      </c>
      <c r="V5535" s="698">
        <v>45346</v>
      </c>
      <c r="W5535">
        <v>3949.36</v>
      </c>
    </row>
    <row r="5536" spans="21:23">
      <c r="U5536" s="693">
        <f t="shared" si="86"/>
        <v>45323</v>
      </c>
      <c r="V5536" s="698">
        <v>45347</v>
      </c>
      <c r="W5536">
        <v>3949.36</v>
      </c>
    </row>
    <row r="5537" spans="21:23">
      <c r="U5537" s="693">
        <f t="shared" si="86"/>
        <v>45323</v>
      </c>
      <c r="V5537" s="698">
        <v>45348</v>
      </c>
      <c r="W5537">
        <v>3949.36</v>
      </c>
    </row>
    <row r="5538" spans="21:23">
      <c r="U5538" s="693">
        <f t="shared" si="86"/>
        <v>45323</v>
      </c>
      <c r="V5538" s="698">
        <v>45349</v>
      </c>
      <c r="W5538">
        <v>3963.08</v>
      </c>
    </row>
    <row r="5539" spans="21:23">
      <c r="U5539" s="693">
        <f t="shared" si="86"/>
        <v>45323</v>
      </c>
      <c r="V5539" s="698">
        <v>45350</v>
      </c>
      <c r="W5539">
        <v>3935.59</v>
      </c>
    </row>
    <row r="5540" spans="21:23">
      <c r="U5540" s="693">
        <f t="shared" si="86"/>
        <v>45323</v>
      </c>
      <c r="V5540" s="698">
        <v>45351</v>
      </c>
      <c r="W5540">
        <v>3933.56</v>
      </c>
    </row>
    <row r="5541" spans="21:23">
      <c r="U5541" s="693">
        <f t="shared" si="86"/>
        <v>45352</v>
      </c>
      <c r="V5541" s="698">
        <v>45352</v>
      </c>
      <c r="W5541">
        <v>3931.31</v>
      </c>
    </row>
    <row r="5542" spans="21:23">
      <c r="U5542" s="693">
        <f t="shared" si="86"/>
        <v>45352</v>
      </c>
      <c r="V5542" s="698">
        <v>45353</v>
      </c>
      <c r="W5542">
        <v>3934.82</v>
      </c>
    </row>
    <row r="5543" spans="21:23">
      <c r="U5543" s="693">
        <f t="shared" si="86"/>
        <v>45352</v>
      </c>
      <c r="V5543" s="698">
        <v>45354</v>
      </c>
      <c r="W5543">
        <v>3934.82</v>
      </c>
    </row>
    <row r="5544" spans="21:23">
      <c r="U5544" s="693">
        <f t="shared" si="86"/>
        <v>45352</v>
      </c>
      <c r="V5544" s="698">
        <v>45355</v>
      </c>
      <c r="W5544">
        <v>3934.82</v>
      </c>
    </row>
    <row r="5545" spans="21:23">
      <c r="U5545" s="693">
        <f t="shared" si="86"/>
        <v>45352</v>
      </c>
      <c r="V5545" s="698">
        <v>45356</v>
      </c>
      <c r="W5545">
        <v>3948.67</v>
      </c>
    </row>
    <row r="5546" spans="21:23">
      <c r="U5546" s="693">
        <f t="shared" si="86"/>
        <v>45352</v>
      </c>
      <c r="V5546" s="698">
        <v>45357</v>
      </c>
      <c r="W5546">
        <v>3945.32</v>
      </c>
    </row>
    <row r="5547" spans="21:23">
      <c r="U5547" s="693">
        <f t="shared" si="86"/>
        <v>45352</v>
      </c>
      <c r="V5547" s="698">
        <v>45358</v>
      </c>
      <c r="W5547">
        <v>3932.55</v>
      </c>
    </row>
    <row r="5548" spans="21:23">
      <c r="U5548" s="693">
        <f t="shared" si="86"/>
        <v>45352</v>
      </c>
      <c r="V5548" s="698">
        <v>45359</v>
      </c>
      <c r="W5548">
        <v>3920.79</v>
      </c>
    </row>
    <row r="5549" spans="21:23">
      <c r="U5549" s="693">
        <f t="shared" si="86"/>
        <v>45352</v>
      </c>
      <c r="V5549" s="698">
        <v>45360</v>
      </c>
      <c r="W5549">
        <v>3905.45</v>
      </c>
    </row>
    <row r="5550" spans="21:23">
      <c r="U5550" s="693">
        <f t="shared" si="86"/>
        <v>45352</v>
      </c>
      <c r="V5550" s="698">
        <v>45361</v>
      </c>
      <c r="W5550">
        <v>3905.45</v>
      </c>
    </row>
    <row r="5551" spans="21:23">
      <c r="U5551" s="693">
        <f t="shared" si="86"/>
        <v>45352</v>
      </c>
      <c r="V5551" s="698">
        <v>45362</v>
      </c>
      <c r="W5551">
        <v>3905.45</v>
      </c>
    </row>
    <row r="5552" spans="21:23">
      <c r="U5552" s="693">
        <f t="shared" si="86"/>
        <v>45352</v>
      </c>
      <c r="V5552" s="698">
        <v>45363</v>
      </c>
      <c r="W5552">
        <v>3907.81</v>
      </c>
    </row>
    <row r="5553" spans="21:23">
      <c r="U5553" s="693">
        <f t="shared" si="86"/>
        <v>45352</v>
      </c>
      <c r="V5553" s="698">
        <v>45364</v>
      </c>
      <c r="W5553">
        <v>3919.86</v>
      </c>
    </row>
    <row r="5554" spans="21:23">
      <c r="U5554" s="693">
        <f t="shared" si="86"/>
        <v>45352</v>
      </c>
      <c r="V5554" s="698">
        <v>45365</v>
      </c>
      <c r="W5554">
        <v>3908.02</v>
      </c>
    </row>
    <row r="5555" spans="21:23">
      <c r="U5555" s="693">
        <f t="shared" si="86"/>
        <v>45352</v>
      </c>
      <c r="V5555" s="698">
        <v>45366</v>
      </c>
      <c r="W5555">
        <v>3899.39</v>
      </c>
    </row>
    <row r="5556" spans="21:23">
      <c r="U5556" s="693">
        <f t="shared" si="86"/>
        <v>45352</v>
      </c>
      <c r="V5556" s="698">
        <v>45367</v>
      </c>
      <c r="W5556">
        <v>3884.64</v>
      </c>
    </row>
    <row r="5557" spans="21:23">
      <c r="U5557" s="693">
        <f t="shared" si="86"/>
        <v>45352</v>
      </c>
      <c r="V5557" s="698">
        <v>45368</v>
      </c>
      <c r="W5557">
        <v>3884.64</v>
      </c>
    </row>
    <row r="5558" spans="21:23">
      <c r="U5558" s="693">
        <f t="shared" si="86"/>
        <v>45352</v>
      </c>
      <c r="V5558" s="698">
        <v>45369</v>
      </c>
      <c r="W5558">
        <v>3884.64</v>
      </c>
    </row>
    <row r="5559" spans="21:23">
      <c r="U5559" s="693">
        <f t="shared" si="86"/>
        <v>45352</v>
      </c>
      <c r="V5559" s="698">
        <v>45370</v>
      </c>
      <c r="W5559">
        <v>3880.59</v>
      </c>
    </row>
    <row r="5560" spans="21:23">
      <c r="U5560" s="693">
        <f t="shared" si="86"/>
        <v>45352</v>
      </c>
      <c r="V5560" s="698">
        <v>45371</v>
      </c>
      <c r="W5560">
        <v>3894.37</v>
      </c>
    </row>
    <row r="5561" spans="21:23">
      <c r="U5561" s="693">
        <f t="shared" si="86"/>
        <v>45352</v>
      </c>
      <c r="V5561" s="698">
        <v>45372</v>
      </c>
      <c r="W5561">
        <v>3886.94</v>
      </c>
    </row>
    <row r="5562" spans="21:23">
      <c r="U5562" s="693">
        <f t="shared" si="86"/>
        <v>45352</v>
      </c>
      <c r="V5562" s="698">
        <v>45373</v>
      </c>
      <c r="W5562">
        <v>3888.02</v>
      </c>
    </row>
    <row r="5563" spans="21:23">
      <c r="U5563" s="693">
        <f t="shared" si="86"/>
        <v>45352</v>
      </c>
      <c r="V5563" s="698">
        <v>45374</v>
      </c>
      <c r="W5563">
        <v>3901.51</v>
      </c>
    </row>
    <row r="5564" spans="21:23">
      <c r="U5564" s="693">
        <f t="shared" si="86"/>
        <v>45352</v>
      </c>
      <c r="V5564" s="698">
        <v>45375</v>
      </c>
      <c r="W5564">
        <v>3901.51</v>
      </c>
    </row>
    <row r="5565" spans="21:23">
      <c r="U5565" s="693">
        <f t="shared" si="86"/>
        <v>45352</v>
      </c>
      <c r="V5565" s="698">
        <v>45376</v>
      </c>
      <c r="W5565">
        <v>3901.51</v>
      </c>
    </row>
    <row r="5566" spans="21:23">
      <c r="U5566" s="693">
        <f t="shared" si="86"/>
        <v>45352</v>
      </c>
      <c r="V5566" s="698">
        <v>45377</v>
      </c>
      <c r="W5566">
        <v>3901.51</v>
      </c>
    </row>
    <row r="5567" spans="21:23">
      <c r="U5567" s="693">
        <f t="shared" si="86"/>
        <v>45352</v>
      </c>
      <c r="V5567" s="698">
        <v>45378</v>
      </c>
      <c r="W5567">
        <v>3865.97</v>
      </c>
    </row>
    <row r="5568" spans="21:23">
      <c r="U5568" s="693">
        <f t="shared" si="86"/>
        <v>45352</v>
      </c>
      <c r="V5568" s="698">
        <v>45379</v>
      </c>
      <c r="W5568">
        <v>3842.3</v>
      </c>
    </row>
    <row r="5569" spans="21:23">
      <c r="U5569" s="693">
        <f t="shared" si="86"/>
        <v>45352</v>
      </c>
      <c r="V5569" s="698">
        <v>45380</v>
      </c>
      <c r="W5569">
        <v>3842.3</v>
      </c>
    </row>
    <row r="5570" spans="21:23">
      <c r="U5570" s="693">
        <f t="shared" si="86"/>
        <v>45352</v>
      </c>
      <c r="V5570" s="698">
        <v>45381</v>
      </c>
      <c r="W5570">
        <v>3842.3</v>
      </c>
    </row>
    <row r="5571" spans="21:23">
      <c r="U5571" s="693">
        <f t="shared" ref="U5571:U5634" si="87">+DATE(YEAR(V5571),MONTH(V5571),1)</f>
        <v>45352</v>
      </c>
      <c r="V5571" s="698">
        <v>45382</v>
      </c>
      <c r="W5571">
        <v>3842.3</v>
      </c>
    </row>
    <row r="5572" spans="21:23">
      <c r="U5572" s="693">
        <f t="shared" si="87"/>
        <v>45383</v>
      </c>
      <c r="V5572" s="698">
        <v>45383</v>
      </c>
      <c r="W5572">
        <v>3842.3</v>
      </c>
    </row>
    <row r="5573" spans="21:23">
      <c r="U5573" s="693">
        <f t="shared" si="87"/>
        <v>45383</v>
      </c>
      <c r="V5573" s="698">
        <v>45384</v>
      </c>
      <c r="W5573">
        <v>3863.05</v>
      </c>
    </row>
    <row r="5574" spans="21:23">
      <c r="U5574" s="693">
        <f t="shared" si="87"/>
        <v>45383</v>
      </c>
      <c r="V5574" s="698">
        <v>45385</v>
      </c>
      <c r="W5574">
        <v>3845.22</v>
      </c>
    </row>
    <row r="5575" spans="21:23">
      <c r="U5575" s="693">
        <f t="shared" si="87"/>
        <v>45383</v>
      </c>
      <c r="V5575" s="698">
        <v>45386</v>
      </c>
      <c r="W5575">
        <v>3812.13</v>
      </c>
    </row>
    <row r="5576" spans="21:23">
      <c r="U5576" s="693">
        <f t="shared" si="87"/>
        <v>45383</v>
      </c>
      <c r="V5576" s="698">
        <v>45387</v>
      </c>
      <c r="W5576">
        <v>3775.37</v>
      </c>
    </row>
    <row r="5577" spans="21:23">
      <c r="U5577" s="693">
        <f t="shared" si="87"/>
        <v>45383</v>
      </c>
      <c r="V5577" s="698">
        <v>45388</v>
      </c>
      <c r="W5577">
        <v>3764.23</v>
      </c>
    </row>
    <row r="5578" spans="21:23">
      <c r="U5578" s="693">
        <f t="shared" si="87"/>
        <v>45383</v>
      </c>
      <c r="V5578" s="698">
        <v>45389</v>
      </c>
      <c r="W5578">
        <v>3764.23</v>
      </c>
    </row>
    <row r="5579" spans="21:23">
      <c r="U5579" s="693">
        <f t="shared" si="87"/>
        <v>45383</v>
      </c>
      <c r="V5579" s="698">
        <v>45390</v>
      </c>
      <c r="W5579">
        <v>3764.23</v>
      </c>
    </row>
    <row r="5580" spans="21:23">
      <c r="U5580" s="693">
        <f t="shared" si="87"/>
        <v>45383</v>
      </c>
      <c r="V5580" s="698">
        <v>45391</v>
      </c>
      <c r="W5580">
        <v>3768.8</v>
      </c>
    </row>
    <row r="5581" spans="21:23">
      <c r="U5581" s="693">
        <f t="shared" si="87"/>
        <v>45383</v>
      </c>
      <c r="V5581" s="698">
        <v>45392</v>
      </c>
      <c r="W5581">
        <v>3763.43</v>
      </c>
    </row>
    <row r="5582" spans="21:23">
      <c r="U5582" s="693">
        <f t="shared" si="87"/>
        <v>45383</v>
      </c>
      <c r="V5582" s="698">
        <v>45393</v>
      </c>
      <c r="W5582">
        <v>3815.44</v>
      </c>
    </row>
    <row r="5583" spans="21:23">
      <c r="U5583" s="693">
        <f t="shared" si="87"/>
        <v>45383</v>
      </c>
      <c r="V5583" s="698">
        <v>45394</v>
      </c>
      <c r="W5583">
        <v>3820.1</v>
      </c>
    </row>
    <row r="5584" spans="21:23">
      <c r="U5584" s="693">
        <f t="shared" si="87"/>
        <v>45383</v>
      </c>
      <c r="V5584" s="698">
        <v>45395</v>
      </c>
      <c r="W5584">
        <v>3864.97</v>
      </c>
    </row>
    <row r="5585" spans="21:23">
      <c r="U5585" s="693">
        <f t="shared" si="87"/>
        <v>45383</v>
      </c>
      <c r="V5585" s="698">
        <v>45396</v>
      </c>
      <c r="W5585">
        <v>3864.97</v>
      </c>
    </row>
    <row r="5586" spans="21:23">
      <c r="U5586" s="693">
        <f t="shared" si="87"/>
        <v>45383</v>
      </c>
      <c r="V5586" s="698">
        <v>45397</v>
      </c>
      <c r="W5586">
        <v>3864.97</v>
      </c>
    </row>
    <row r="5587" spans="21:23">
      <c r="U5587" s="693">
        <f t="shared" si="87"/>
        <v>45383</v>
      </c>
      <c r="V5587" s="698">
        <v>45398</v>
      </c>
      <c r="W5587">
        <v>3889.58</v>
      </c>
    </row>
    <row r="5588" spans="21:23">
      <c r="U5588" s="693">
        <f t="shared" si="87"/>
        <v>45383</v>
      </c>
      <c r="V5588" s="698">
        <v>45399</v>
      </c>
      <c r="W5588">
        <v>3938.11</v>
      </c>
    </row>
    <row r="5589" spans="21:23">
      <c r="U5589" s="693">
        <f t="shared" si="87"/>
        <v>45383</v>
      </c>
      <c r="V5589" s="698">
        <v>45400</v>
      </c>
      <c r="W5589">
        <v>3901.94</v>
      </c>
    </row>
    <row r="5590" spans="21:23">
      <c r="U5590" s="693">
        <f t="shared" si="87"/>
        <v>45383</v>
      </c>
      <c r="V5590" s="698">
        <v>45401</v>
      </c>
      <c r="W5590">
        <v>3918.23</v>
      </c>
    </row>
    <row r="5591" spans="21:23">
      <c r="U5591" s="693">
        <f t="shared" si="87"/>
        <v>45383</v>
      </c>
      <c r="V5591" s="698">
        <v>45402</v>
      </c>
      <c r="W5591">
        <v>3937.13</v>
      </c>
    </row>
    <row r="5592" spans="21:23">
      <c r="U5592" s="693">
        <f t="shared" si="87"/>
        <v>45383</v>
      </c>
      <c r="V5592" s="698">
        <v>45403</v>
      </c>
      <c r="W5592">
        <v>3937.13</v>
      </c>
    </row>
    <row r="5593" spans="21:23">
      <c r="U5593" s="693">
        <f t="shared" si="87"/>
        <v>45383</v>
      </c>
      <c r="V5593" s="698">
        <v>45404</v>
      </c>
      <c r="W5593">
        <v>3937.13</v>
      </c>
    </row>
    <row r="5594" spans="21:23">
      <c r="U5594" s="693">
        <f t="shared" si="87"/>
        <v>45383</v>
      </c>
      <c r="V5594" s="698">
        <v>45405</v>
      </c>
      <c r="W5594">
        <v>3924.82</v>
      </c>
    </row>
    <row r="5595" spans="21:23">
      <c r="U5595" s="693">
        <f t="shared" si="87"/>
        <v>45383</v>
      </c>
      <c r="V5595" s="698">
        <v>45406</v>
      </c>
      <c r="W5595">
        <v>3910.01</v>
      </c>
    </row>
    <row r="5596" spans="21:23">
      <c r="U5596" s="693">
        <f t="shared" si="87"/>
        <v>45383</v>
      </c>
      <c r="V5596" s="698">
        <v>45407</v>
      </c>
      <c r="W5596">
        <v>3935.65</v>
      </c>
    </row>
    <row r="5597" spans="21:23">
      <c r="U5597" s="693">
        <f t="shared" si="87"/>
        <v>45383</v>
      </c>
      <c r="V5597" s="698">
        <v>45408</v>
      </c>
      <c r="W5597">
        <v>3964.59</v>
      </c>
    </row>
    <row r="5598" spans="21:23">
      <c r="U5598" s="693">
        <f t="shared" si="87"/>
        <v>45383</v>
      </c>
      <c r="V5598" s="698">
        <v>45409</v>
      </c>
      <c r="W5598">
        <v>3926.02</v>
      </c>
    </row>
    <row r="5599" spans="21:23">
      <c r="U5599" s="693">
        <f t="shared" si="87"/>
        <v>45383</v>
      </c>
      <c r="V5599" s="698">
        <v>45410</v>
      </c>
      <c r="W5599">
        <v>3926.02</v>
      </c>
    </row>
    <row r="5600" spans="21:23">
      <c r="U5600" s="693">
        <f t="shared" si="87"/>
        <v>45383</v>
      </c>
      <c r="V5600" s="698">
        <v>45411</v>
      </c>
      <c r="W5600">
        <v>3926.02</v>
      </c>
    </row>
    <row r="5601" spans="21:23">
      <c r="U5601" s="693">
        <f t="shared" si="87"/>
        <v>45383</v>
      </c>
      <c r="V5601" s="698">
        <v>45412</v>
      </c>
      <c r="W5601">
        <v>3873.44</v>
      </c>
    </row>
    <row r="5602" spans="21:23">
      <c r="U5602" s="693">
        <f t="shared" si="87"/>
        <v>45413</v>
      </c>
      <c r="V5602" s="698">
        <v>45413</v>
      </c>
      <c r="W5602">
        <v>3899.07</v>
      </c>
    </row>
    <row r="5603" spans="21:23">
      <c r="U5603" s="693">
        <f t="shared" si="87"/>
        <v>45413</v>
      </c>
      <c r="V5603" s="698">
        <v>45414</v>
      </c>
      <c r="W5603">
        <v>3899.07</v>
      </c>
    </row>
    <row r="5604" spans="21:23">
      <c r="U5604" s="693">
        <f t="shared" si="87"/>
        <v>45413</v>
      </c>
      <c r="V5604" s="698">
        <v>45415</v>
      </c>
      <c r="W5604">
        <v>3898.62</v>
      </c>
    </row>
    <row r="5605" spans="21:23">
      <c r="U5605" s="693">
        <f t="shared" si="87"/>
        <v>45413</v>
      </c>
      <c r="V5605" s="698">
        <v>45416</v>
      </c>
      <c r="W5605">
        <v>3895.41</v>
      </c>
    </row>
    <row r="5606" spans="21:23">
      <c r="U5606" s="693">
        <f t="shared" si="87"/>
        <v>45413</v>
      </c>
      <c r="V5606" s="698">
        <v>45417</v>
      </c>
      <c r="W5606">
        <v>3895.41</v>
      </c>
    </row>
    <row r="5607" spans="21:23">
      <c r="U5607" s="693">
        <f t="shared" si="87"/>
        <v>45413</v>
      </c>
      <c r="V5607" s="698">
        <v>45418</v>
      </c>
      <c r="W5607">
        <v>3895.41</v>
      </c>
    </row>
    <row r="5608" spans="21:23">
      <c r="U5608" s="693">
        <f t="shared" si="87"/>
        <v>45413</v>
      </c>
      <c r="V5608" s="698">
        <v>45419</v>
      </c>
      <c r="W5608">
        <v>3894.23</v>
      </c>
    </row>
    <row r="5609" spans="21:23">
      <c r="U5609" s="693">
        <f t="shared" si="87"/>
        <v>45413</v>
      </c>
      <c r="V5609" s="698">
        <v>45420</v>
      </c>
      <c r="W5609">
        <v>3884.84</v>
      </c>
    </row>
    <row r="5610" spans="21:23">
      <c r="U5610" s="693">
        <f t="shared" si="87"/>
        <v>45413</v>
      </c>
      <c r="V5610" s="698">
        <v>45421</v>
      </c>
      <c r="W5610">
        <v>3902.63</v>
      </c>
    </row>
    <row r="5611" spans="21:23">
      <c r="U5611" s="693">
        <f t="shared" si="87"/>
        <v>45413</v>
      </c>
      <c r="V5611" s="698">
        <v>45422</v>
      </c>
      <c r="W5611">
        <v>3900.38</v>
      </c>
    </row>
    <row r="5612" spans="21:23">
      <c r="U5612" s="693">
        <f t="shared" si="87"/>
        <v>45413</v>
      </c>
      <c r="V5612" s="698">
        <v>45423</v>
      </c>
      <c r="W5612">
        <v>3888.21</v>
      </c>
    </row>
    <row r="5613" spans="21:23">
      <c r="U5613" s="693">
        <f t="shared" si="87"/>
        <v>45413</v>
      </c>
      <c r="V5613" s="698">
        <v>45424</v>
      </c>
      <c r="W5613">
        <v>3888.21</v>
      </c>
    </row>
    <row r="5614" spans="21:23">
      <c r="U5614" s="693">
        <f t="shared" si="87"/>
        <v>45413</v>
      </c>
      <c r="V5614" s="698">
        <v>45425</v>
      </c>
      <c r="W5614">
        <v>3888.21</v>
      </c>
    </row>
    <row r="5615" spans="21:23">
      <c r="U5615" s="693">
        <f t="shared" si="87"/>
        <v>45413</v>
      </c>
      <c r="V5615" s="698">
        <v>45426</v>
      </c>
      <c r="W5615">
        <v>3888.21</v>
      </c>
    </row>
    <row r="5616" spans="21:23">
      <c r="U5616" s="693">
        <f t="shared" si="87"/>
        <v>45413</v>
      </c>
      <c r="V5616" s="698">
        <v>45427</v>
      </c>
      <c r="W5616">
        <v>3861.82</v>
      </c>
    </row>
    <row r="5617" spans="21:23">
      <c r="U5617" s="693">
        <f t="shared" si="87"/>
        <v>45413</v>
      </c>
      <c r="V5617" s="698">
        <v>45428</v>
      </c>
      <c r="W5617">
        <v>3825.42</v>
      </c>
    </row>
    <row r="5618" spans="21:23">
      <c r="U5618" s="693">
        <f t="shared" si="87"/>
        <v>45413</v>
      </c>
      <c r="V5618" s="698">
        <v>45429</v>
      </c>
      <c r="W5618">
        <v>3828.98</v>
      </c>
    </row>
    <row r="5619" spans="21:23">
      <c r="U5619" s="693">
        <f t="shared" si="87"/>
        <v>45413</v>
      </c>
      <c r="V5619" s="698">
        <v>45430</v>
      </c>
      <c r="W5619">
        <v>3832.26</v>
      </c>
    </row>
    <row r="5620" spans="21:23">
      <c r="U5620" s="693">
        <f t="shared" si="87"/>
        <v>45413</v>
      </c>
      <c r="V5620" s="698">
        <v>45431</v>
      </c>
      <c r="W5620">
        <v>3832.26</v>
      </c>
    </row>
    <row r="5621" spans="21:23">
      <c r="U5621" s="693">
        <f t="shared" si="87"/>
        <v>45413</v>
      </c>
      <c r="V5621" s="698">
        <v>45432</v>
      </c>
      <c r="W5621">
        <v>3832.26</v>
      </c>
    </row>
    <row r="5622" spans="21:23">
      <c r="U5622" s="693">
        <f t="shared" si="87"/>
        <v>45413</v>
      </c>
      <c r="V5622" s="698">
        <v>45433</v>
      </c>
      <c r="W5622">
        <v>3822.39</v>
      </c>
    </row>
    <row r="5623" spans="21:23">
      <c r="U5623" s="693">
        <f t="shared" si="87"/>
        <v>45413</v>
      </c>
      <c r="V5623" s="698">
        <v>45434</v>
      </c>
      <c r="W5623">
        <v>3814.94</v>
      </c>
    </row>
    <row r="5624" spans="21:23">
      <c r="U5624" s="693">
        <f t="shared" si="87"/>
        <v>45413</v>
      </c>
      <c r="V5624" s="698">
        <v>45435</v>
      </c>
      <c r="W5624">
        <v>3829.59</v>
      </c>
    </row>
    <row r="5625" spans="21:23">
      <c r="U5625" s="693">
        <f t="shared" si="87"/>
        <v>45413</v>
      </c>
      <c r="V5625" s="698">
        <v>45436</v>
      </c>
      <c r="W5625">
        <v>3837.58</v>
      </c>
    </row>
    <row r="5626" spans="21:23">
      <c r="U5626" s="693">
        <f t="shared" si="87"/>
        <v>45413</v>
      </c>
      <c r="V5626" s="698">
        <v>45437</v>
      </c>
      <c r="W5626">
        <v>3878.07</v>
      </c>
    </row>
    <row r="5627" spans="21:23">
      <c r="U5627" s="693">
        <f t="shared" si="87"/>
        <v>45413</v>
      </c>
      <c r="V5627" s="698">
        <v>45438</v>
      </c>
      <c r="W5627">
        <v>3878.07</v>
      </c>
    </row>
    <row r="5628" spans="21:23">
      <c r="U5628" s="693">
        <f t="shared" si="87"/>
        <v>45413</v>
      </c>
      <c r="V5628" s="698">
        <v>45439</v>
      </c>
      <c r="W5628">
        <v>3878.07</v>
      </c>
    </row>
    <row r="5629" spans="21:23">
      <c r="U5629" s="693">
        <f t="shared" si="87"/>
        <v>45413</v>
      </c>
      <c r="V5629" s="698">
        <v>45440</v>
      </c>
      <c r="W5629">
        <v>3878.07</v>
      </c>
    </row>
    <row r="5630" spans="21:23">
      <c r="U5630" s="693">
        <f t="shared" si="87"/>
        <v>45413</v>
      </c>
      <c r="V5630" s="698">
        <v>45441</v>
      </c>
      <c r="W5630">
        <v>3853.09</v>
      </c>
    </row>
    <row r="5631" spans="21:23">
      <c r="U5631" s="693">
        <f t="shared" si="87"/>
        <v>45413</v>
      </c>
      <c r="V5631" s="698">
        <v>45442</v>
      </c>
      <c r="W5631">
        <v>3867.02</v>
      </c>
    </row>
    <row r="5632" spans="21:23">
      <c r="U5632" s="693">
        <f t="shared" si="87"/>
        <v>45413</v>
      </c>
      <c r="V5632" s="698">
        <v>45443</v>
      </c>
      <c r="W5632">
        <v>3874.32</v>
      </c>
    </row>
    <row r="5633" spans="21:23">
      <c r="U5633" s="693">
        <f t="shared" si="87"/>
        <v>45444</v>
      </c>
      <c r="V5633" s="698">
        <v>45444</v>
      </c>
      <c r="W5633">
        <v>3860.92</v>
      </c>
    </row>
    <row r="5634" spans="21:23">
      <c r="U5634" s="693">
        <f t="shared" si="87"/>
        <v>45444</v>
      </c>
      <c r="V5634" s="698">
        <v>45445</v>
      </c>
      <c r="W5634">
        <v>3860.92</v>
      </c>
    </row>
    <row r="5635" spans="21:23">
      <c r="U5635" s="693">
        <f t="shared" ref="U5635:U5653" si="88">+DATE(YEAR(V5635),MONTH(V5635),1)</f>
        <v>45444</v>
      </c>
      <c r="V5635" s="698">
        <v>45446</v>
      </c>
      <c r="W5635">
        <v>3860.92</v>
      </c>
    </row>
    <row r="5636" spans="21:23">
      <c r="U5636" s="693">
        <f t="shared" si="88"/>
        <v>45444</v>
      </c>
      <c r="V5636" s="698">
        <v>45447</v>
      </c>
      <c r="W5636">
        <v>3860.92</v>
      </c>
    </row>
    <row r="5637" spans="21:23">
      <c r="U5637" s="693">
        <f t="shared" si="88"/>
        <v>45444</v>
      </c>
      <c r="V5637" s="698">
        <v>45448</v>
      </c>
      <c r="W5637">
        <v>3909.65</v>
      </c>
    </row>
    <row r="5638" spans="21:23">
      <c r="U5638" s="693">
        <f t="shared" si="88"/>
        <v>45444</v>
      </c>
      <c r="V5638" s="698">
        <v>45449</v>
      </c>
      <c r="W5638">
        <v>3927.91</v>
      </c>
    </row>
    <row r="5639" spans="21:23">
      <c r="U5639" s="693">
        <f t="shared" si="88"/>
        <v>45444</v>
      </c>
      <c r="V5639" s="698">
        <v>45450</v>
      </c>
      <c r="W5639">
        <v>3938.53</v>
      </c>
    </row>
    <row r="5640" spans="21:23">
      <c r="U5640" s="693">
        <f t="shared" si="88"/>
        <v>45444</v>
      </c>
      <c r="V5640" s="698">
        <v>45451</v>
      </c>
      <c r="W5640">
        <v>3944.14</v>
      </c>
    </row>
    <row r="5641" spans="21:23">
      <c r="U5641" s="693">
        <f t="shared" si="88"/>
        <v>45444</v>
      </c>
      <c r="V5641" s="698">
        <v>45452</v>
      </c>
      <c r="W5641">
        <v>3944.14</v>
      </c>
    </row>
    <row r="5642" spans="21:23">
      <c r="U5642" s="693">
        <f t="shared" si="88"/>
        <v>45444</v>
      </c>
      <c r="V5642" s="698">
        <v>45453</v>
      </c>
      <c r="W5642">
        <v>3944.14</v>
      </c>
    </row>
    <row r="5643" spans="21:23">
      <c r="U5643" s="693">
        <f t="shared" si="88"/>
        <v>45444</v>
      </c>
      <c r="V5643" s="698">
        <v>45454</v>
      </c>
      <c r="W5643">
        <v>3944.14</v>
      </c>
    </row>
    <row r="5644" spans="21:23">
      <c r="U5644" s="693">
        <f t="shared" si="88"/>
        <v>45444</v>
      </c>
      <c r="V5644" s="698">
        <v>45455</v>
      </c>
      <c r="W5644">
        <v>3960.83</v>
      </c>
    </row>
    <row r="5645" spans="21:23">
      <c r="U5645" s="693">
        <f t="shared" si="88"/>
        <v>45444</v>
      </c>
      <c r="V5645" s="698">
        <v>45456</v>
      </c>
      <c r="W5645">
        <v>4023.26</v>
      </c>
    </row>
    <row r="5646" spans="21:23">
      <c r="U5646" s="693">
        <f t="shared" si="88"/>
        <v>45444</v>
      </c>
      <c r="V5646" s="698">
        <v>45457</v>
      </c>
      <c r="W5646">
        <v>4107.5200000000004</v>
      </c>
    </row>
    <row r="5647" spans="21:23">
      <c r="U5647" s="693">
        <f t="shared" si="88"/>
        <v>45444</v>
      </c>
      <c r="V5647" s="698">
        <v>45458</v>
      </c>
      <c r="W5647">
        <v>4151.55</v>
      </c>
    </row>
    <row r="5648" spans="21:23">
      <c r="U5648" s="693">
        <f t="shared" si="88"/>
        <v>45444</v>
      </c>
      <c r="V5648" s="698">
        <v>45459</v>
      </c>
      <c r="W5648">
        <v>4151.55</v>
      </c>
    </row>
    <row r="5649" spans="21:23">
      <c r="U5649" s="693">
        <f t="shared" si="88"/>
        <v>45444</v>
      </c>
      <c r="V5649" s="698">
        <v>45460</v>
      </c>
      <c r="W5649">
        <v>4151.55</v>
      </c>
    </row>
    <row r="5650" spans="21:23">
      <c r="U5650" s="693">
        <f t="shared" si="88"/>
        <v>45444</v>
      </c>
      <c r="V5650" s="698">
        <v>45461</v>
      </c>
      <c r="W5650">
        <v>4144.63</v>
      </c>
    </row>
    <row r="5651" spans="21:23">
      <c r="U5651" s="693">
        <f t="shared" si="88"/>
        <v>45444</v>
      </c>
      <c r="V5651" s="698">
        <v>45462</v>
      </c>
      <c r="W5651">
        <v>4101.87</v>
      </c>
    </row>
    <row r="5652" spans="21:23">
      <c r="U5652" s="693">
        <f t="shared" si="88"/>
        <v>45444</v>
      </c>
      <c r="V5652" s="698">
        <v>45463</v>
      </c>
      <c r="W5652">
        <v>4101.87</v>
      </c>
    </row>
    <row r="5653" spans="21:23">
      <c r="U5653" s="693">
        <f t="shared" si="88"/>
        <v>45444</v>
      </c>
      <c r="V5653" s="698">
        <v>45464</v>
      </c>
      <c r="W5653">
        <v>4175.96</v>
      </c>
    </row>
    <row r="5654" spans="21:23">
      <c r="U5654" s="737">
        <f t="shared" ref="U5654:U5717" si="89">+DATE(YEAR(V5654),MONTH(V5654),1)</f>
        <v>45444</v>
      </c>
      <c r="V5654" s="738" t="s">
        <v>127</v>
      </c>
      <c r="W5654">
        <v>4143.72</v>
      </c>
    </row>
    <row r="5655" spans="21:23">
      <c r="U5655" s="737">
        <f t="shared" si="89"/>
        <v>45444</v>
      </c>
      <c r="V5655" s="738" t="s">
        <v>128</v>
      </c>
      <c r="W5655">
        <v>4143.72</v>
      </c>
    </row>
    <row r="5656" spans="21:23">
      <c r="U5656" s="737">
        <f t="shared" si="89"/>
        <v>45444</v>
      </c>
      <c r="V5656" s="738" t="s">
        <v>129</v>
      </c>
      <c r="W5656">
        <v>4143.72</v>
      </c>
    </row>
    <row r="5657" spans="21:23">
      <c r="U5657" s="737">
        <f t="shared" si="89"/>
        <v>45444</v>
      </c>
      <c r="V5657" s="738" t="s">
        <v>130</v>
      </c>
      <c r="W5657">
        <v>4104.38</v>
      </c>
    </row>
    <row r="5658" spans="21:23">
      <c r="U5658" s="737">
        <f t="shared" si="89"/>
        <v>45444</v>
      </c>
      <c r="V5658" s="738" t="s">
        <v>131</v>
      </c>
      <c r="W5658">
        <v>4093.66</v>
      </c>
    </row>
    <row r="5659" spans="21:23">
      <c r="U5659" s="737">
        <f t="shared" si="89"/>
        <v>45444</v>
      </c>
      <c r="V5659" s="738" t="s">
        <v>132</v>
      </c>
      <c r="W5659">
        <v>4133.6099999999997</v>
      </c>
    </row>
    <row r="5660" spans="21:23">
      <c r="U5660" s="737">
        <f t="shared" si="89"/>
        <v>45444</v>
      </c>
      <c r="V5660" s="738" t="s">
        <v>133</v>
      </c>
      <c r="W5660">
        <v>4158.1000000000004</v>
      </c>
    </row>
    <row r="5661" spans="21:23">
      <c r="U5661" s="737">
        <f t="shared" si="89"/>
        <v>45444</v>
      </c>
      <c r="V5661" s="738" t="s">
        <v>134</v>
      </c>
      <c r="W5661">
        <v>4148.04</v>
      </c>
    </row>
    <row r="5662" spans="21:23">
      <c r="U5662" s="737">
        <f t="shared" si="89"/>
        <v>45444</v>
      </c>
      <c r="V5662" s="738" t="s">
        <v>135</v>
      </c>
      <c r="W5662">
        <v>4148.04</v>
      </c>
    </row>
    <row r="5663" spans="21:23">
      <c r="U5663" s="737">
        <f t="shared" si="89"/>
        <v>45474</v>
      </c>
      <c r="V5663" s="738" t="s">
        <v>136</v>
      </c>
      <c r="W5663">
        <v>4148.04</v>
      </c>
    </row>
    <row r="5664" spans="21:23">
      <c r="U5664" s="737">
        <f t="shared" si="89"/>
        <v>45474</v>
      </c>
      <c r="V5664" s="738" t="s">
        <v>137</v>
      </c>
      <c r="W5664">
        <v>4148.04</v>
      </c>
    </row>
    <row r="5665" spans="21:23">
      <c r="U5665" s="737">
        <f t="shared" si="89"/>
        <v>45474</v>
      </c>
      <c r="V5665" s="738" t="s">
        <v>138</v>
      </c>
      <c r="W5665">
        <v>4130.03</v>
      </c>
    </row>
    <row r="5666" spans="21:23">
      <c r="U5666" s="737">
        <f t="shared" si="89"/>
        <v>45474</v>
      </c>
      <c r="V5666" s="738" t="s">
        <v>139</v>
      </c>
      <c r="W5666">
        <v>4096.09</v>
      </c>
    </row>
    <row r="5667" spans="21:23">
      <c r="U5667" s="737">
        <f t="shared" si="89"/>
        <v>45474</v>
      </c>
      <c r="V5667" s="738" t="s">
        <v>140</v>
      </c>
      <c r="W5667">
        <v>4096.09</v>
      </c>
    </row>
    <row r="5668" spans="21:23">
      <c r="U5668" s="737">
        <f t="shared" si="89"/>
        <v>45474</v>
      </c>
      <c r="V5668" s="738" t="s">
        <v>141</v>
      </c>
      <c r="W5668">
        <v>4093.72</v>
      </c>
    </row>
    <row r="5669" spans="21:23">
      <c r="U5669" s="737">
        <f t="shared" si="89"/>
        <v>45474</v>
      </c>
      <c r="V5669" s="738" t="s">
        <v>142</v>
      </c>
      <c r="W5669">
        <v>4093.72</v>
      </c>
    </row>
    <row r="5670" spans="21:23">
      <c r="U5670" s="737">
        <f t="shared" si="89"/>
        <v>45474</v>
      </c>
      <c r="V5670" s="738" t="s">
        <v>143</v>
      </c>
      <c r="W5670">
        <v>4093.72</v>
      </c>
    </row>
    <row r="5671" spans="21:23">
      <c r="U5671" s="737">
        <f t="shared" si="89"/>
        <v>45474</v>
      </c>
      <c r="V5671" s="738" t="s">
        <v>144</v>
      </c>
      <c r="W5671">
        <v>4052.99</v>
      </c>
    </row>
    <row r="5672" spans="21:23">
      <c r="U5672" s="737">
        <f t="shared" si="89"/>
        <v>45474</v>
      </c>
      <c r="V5672" s="738" t="s">
        <v>145</v>
      </c>
      <c r="W5672">
        <v>4022.05</v>
      </c>
    </row>
    <row r="5673" spans="21:23">
      <c r="U5673" s="737">
        <f t="shared" si="89"/>
        <v>45474</v>
      </c>
      <c r="V5673" s="738" t="s">
        <v>146</v>
      </c>
      <c r="W5673">
        <v>3979.91</v>
      </c>
    </row>
    <row r="5674" spans="21:23">
      <c r="U5674" s="737">
        <f t="shared" si="89"/>
        <v>45474</v>
      </c>
      <c r="V5674" s="738" t="s">
        <v>147</v>
      </c>
      <c r="W5674">
        <v>3968.87</v>
      </c>
    </row>
    <row r="5675" spans="21:23">
      <c r="U5675" s="737">
        <f t="shared" si="89"/>
        <v>45474</v>
      </c>
      <c r="V5675" s="738" t="s">
        <v>148</v>
      </c>
      <c r="W5675">
        <v>3944.97</v>
      </c>
    </row>
    <row r="5676" spans="21:23">
      <c r="U5676" s="737">
        <f t="shared" si="89"/>
        <v>45474</v>
      </c>
      <c r="V5676" s="738" t="s">
        <v>149</v>
      </c>
      <c r="W5676">
        <v>3944.97</v>
      </c>
    </row>
    <row r="5677" spans="21:23">
      <c r="U5677" s="737">
        <f t="shared" si="89"/>
        <v>45474</v>
      </c>
      <c r="V5677" s="738" t="s">
        <v>150</v>
      </c>
      <c r="W5677">
        <v>3944.97</v>
      </c>
    </row>
    <row r="5678" spans="21:23">
      <c r="U5678" s="737">
        <f t="shared" si="89"/>
        <v>45474</v>
      </c>
      <c r="V5678" s="738" t="s">
        <v>151</v>
      </c>
      <c r="W5678">
        <v>3948.41</v>
      </c>
    </row>
    <row r="5679" spans="21:23">
      <c r="U5679" s="737">
        <f t="shared" si="89"/>
        <v>45474</v>
      </c>
      <c r="V5679" s="738" t="s">
        <v>152</v>
      </c>
      <c r="W5679">
        <v>3977.63</v>
      </c>
    </row>
    <row r="5680" spans="21:23">
      <c r="U5680" s="737">
        <f t="shared" si="89"/>
        <v>45474</v>
      </c>
      <c r="V5680" s="738" t="s">
        <v>153</v>
      </c>
      <c r="W5680">
        <v>4011.19</v>
      </c>
    </row>
    <row r="5681" spans="21:23">
      <c r="U5681" s="737">
        <f t="shared" si="89"/>
        <v>45474</v>
      </c>
      <c r="V5681" s="738" t="s">
        <v>154</v>
      </c>
      <c r="W5681">
        <v>4036.73</v>
      </c>
    </row>
    <row r="5682" spans="21:23">
      <c r="U5682" s="737">
        <f t="shared" si="89"/>
        <v>45474</v>
      </c>
      <c r="V5682" s="738" t="s">
        <v>155</v>
      </c>
      <c r="W5682">
        <v>4040.2</v>
      </c>
    </row>
    <row r="5683" spans="21:23">
      <c r="U5683" s="737">
        <f t="shared" si="89"/>
        <v>45474</v>
      </c>
      <c r="V5683" s="738" t="s">
        <v>156</v>
      </c>
      <c r="W5683">
        <v>4040.2</v>
      </c>
    </row>
    <row r="5684" spans="21:23">
      <c r="U5684" s="737">
        <f t="shared" si="89"/>
        <v>45474</v>
      </c>
      <c r="V5684" s="738" t="s">
        <v>157</v>
      </c>
      <c r="W5684">
        <v>4040.2</v>
      </c>
    </row>
    <row r="5685" spans="21:23">
      <c r="U5685" s="737">
        <f t="shared" si="89"/>
        <v>45474</v>
      </c>
      <c r="V5685" s="738" t="s">
        <v>158</v>
      </c>
      <c r="W5685">
        <v>4006.01</v>
      </c>
    </row>
    <row r="5686" spans="21:23">
      <c r="U5686" s="737">
        <f t="shared" si="89"/>
        <v>45474</v>
      </c>
      <c r="V5686" s="738" t="s">
        <v>159</v>
      </c>
      <c r="W5686">
        <v>4010.53</v>
      </c>
    </row>
    <row r="5687" spans="21:23">
      <c r="U5687" s="737">
        <f t="shared" si="89"/>
        <v>45474</v>
      </c>
      <c r="V5687" s="738" t="s">
        <v>160</v>
      </c>
      <c r="W5687">
        <v>4047.66</v>
      </c>
    </row>
    <row r="5688" spans="21:23">
      <c r="U5688" s="737">
        <f t="shared" si="89"/>
        <v>45474</v>
      </c>
      <c r="V5688" s="738" t="s">
        <v>161</v>
      </c>
      <c r="W5688">
        <v>4035</v>
      </c>
    </row>
    <row r="5689" spans="21:23">
      <c r="U5689" s="737">
        <f t="shared" si="89"/>
        <v>45474</v>
      </c>
      <c r="V5689" s="738" t="s">
        <v>162</v>
      </c>
      <c r="W5689">
        <v>4014.56</v>
      </c>
    </row>
    <row r="5690" spans="21:23">
      <c r="U5690" s="737">
        <f t="shared" si="89"/>
        <v>45474</v>
      </c>
      <c r="V5690" s="738" t="s">
        <v>163</v>
      </c>
      <c r="W5690">
        <v>4014.56</v>
      </c>
    </row>
    <row r="5691" spans="21:23">
      <c r="U5691" s="737">
        <f t="shared" si="89"/>
        <v>45474</v>
      </c>
      <c r="V5691" s="738" t="s">
        <v>164</v>
      </c>
      <c r="W5691">
        <v>4014.56</v>
      </c>
    </row>
    <row r="5692" spans="21:23">
      <c r="U5692" s="737">
        <f t="shared" si="89"/>
        <v>45474</v>
      </c>
      <c r="V5692" s="738" t="s">
        <v>165</v>
      </c>
      <c r="W5692">
        <v>4059.91</v>
      </c>
    </row>
    <row r="5693" spans="21:23">
      <c r="U5693" s="737">
        <f t="shared" si="89"/>
        <v>45474</v>
      </c>
      <c r="V5693" s="738" t="s">
        <v>166</v>
      </c>
      <c r="W5693">
        <v>4089.05</v>
      </c>
    </row>
    <row r="5694" spans="21:23">
      <c r="U5694" s="737">
        <f t="shared" si="89"/>
        <v>45505</v>
      </c>
      <c r="V5694" s="738" t="s">
        <v>167</v>
      </c>
      <c r="W5694">
        <v>4060.34</v>
      </c>
    </row>
    <row r="5695" spans="21:23">
      <c r="U5695" s="737">
        <f t="shared" si="89"/>
        <v>45505</v>
      </c>
      <c r="V5695" s="738" t="s">
        <v>168</v>
      </c>
      <c r="W5695">
        <v>4057.14</v>
      </c>
    </row>
    <row r="5696" spans="21:23">
      <c r="U5696" s="737">
        <f t="shared" si="89"/>
        <v>45505</v>
      </c>
      <c r="V5696" s="738" t="s">
        <v>169</v>
      </c>
      <c r="W5696">
        <v>4110.37</v>
      </c>
    </row>
    <row r="5697" spans="21:23">
      <c r="U5697" s="737">
        <f t="shared" si="89"/>
        <v>45505</v>
      </c>
      <c r="V5697" s="738" t="s">
        <v>170</v>
      </c>
      <c r="W5697">
        <v>4110.37</v>
      </c>
    </row>
    <row r="5698" spans="21:23">
      <c r="U5698" s="737">
        <f t="shared" si="89"/>
        <v>45505</v>
      </c>
      <c r="V5698" s="738" t="s">
        <v>171</v>
      </c>
      <c r="W5698">
        <v>4110.37</v>
      </c>
    </row>
    <row r="5699" spans="21:23">
      <c r="U5699" s="737">
        <f t="shared" si="89"/>
        <v>45505</v>
      </c>
      <c r="V5699" s="738" t="s">
        <v>172</v>
      </c>
      <c r="W5699">
        <v>4184.3</v>
      </c>
    </row>
    <row r="5700" spans="21:23">
      <c r="U5700" s="737">
        <f t="shared" si="89"/>
        <v>45505</v>
      </c>
      <c r="V5700" s="738" t="s">
        <v>173</v>
      </c>
      <c r="W5700">
        <v>4136.2700000000004</v>
      </c>
    </row>
    <row r="5701" spans="21:23">
      <c r="U5701" s="737">
        <f t="shared" si="89"/>
        <v>45505</v>
      </c>
      <c r="V5701" s="738" t="s">
        <v>174</v>
      </c>
      <c r="W5701">
        <v>4136.2700000000004</v>
      </c>
    </row>
    <row r="5702" spans="21:23">
      <c r="U5702" s="737">
        <f t="shared" si="89"/>
        <v>45505</v>
      </c>
      <c r="V5702" s="738" t="s">
        <v>175</v>
      </c>
      <c r="W5702">
        <v>4100.79</v>
      </c>
    </row>
    <row r="5703" spans="21:23">
      <c r="U5703" s="737">
        <f t="shared" si="89"/>
        <v>45505</v>
      </c>
      <c r="V5703" s="738" t="s">
        <v>176</v>
      </c>
      <c r="W5703">
        <v>4064.51</v>
      </c>
    </row>
    <row r="5704" spans="21:23">
      <c r="U5704" s="737">
        <f t="shared" si="89"/>
        <v>45505</v>
      </c>
      <c r="V5704" s="738" t="s">
        <v>177</v>
      </c>
      <c r="W5704">
        <v>4064.51</v>
      </c>
    </row>
    <row r="5705" spans="21:23">
      <c r="U5705" s="737">
        <f t="shared" si="89"/>
        <v>45505</v>
      </c>
      <c r="V5705" s="738" t="s">
        <v>178</v>
      </c>
      <c r="W5705">
        <v>4064.51</v>
      </c>
    </row>
    <row r="5706" spans="21:23">
      <c r="U5706" s="737">
        <f t="shared" si="89"/>
        <v>45505</v>
      </c>
      <c r="V5706" s="738" t="s">
        <v>179</v>
      </c>
      <c r="W5706">
        <v>4063.26</v>
      </c>
    </row>
    <row r="5707" spans="21:23">
      <c r="U5707" s="737">
        <f t="shared" si="89"/>
        <v>45505</v>
      </c>
      <c r="V5707" s="738" t="s">
        <v>180</v>
      </c>
      <c r="W5707">
        <v>4038.87</v>
      </c>
    </row>
    <row r="5708" spans="21:23">
      <c r="U5708" s="737">
        <f t="shared" si="89"/>
        <v>45505</v>
      </c>
      <c r="V5708" s="738" t="s">
        <v>181</v>
      </c>
      <c r="W5708">
        <v>4021.1</v>
      </c>
    </row>
    <row r="5709" spans="21:23">
      <c r="U5709" s="737">
        <f t="shared" si="89"/>
        <v>45505</v>
      </c>
      <c r="V5709" s="738" t="s">
        <v>182</v>
      </c>
      <c r="W5709">
        <v>4014.18</v>
      </c>
    </row>
    <row r="5710" spans="21:23">
      <c r="U5710" s="737">
        <f t="shared" si="89"/>
        <v>45505</v>
      </c>
      <c r="V5710" s="738" t="s">
        <v>183</v>
      </c>
      <c r="W5710">
        <v>4021.63</v>
      </c>
    </row>
    <row r="5711" spans="21:23">
      <c r="U5711" s="737">
        <f t="shared" si="89"/>
        <v>45505</v>
      </c>
      <c r="V5711" s="738" t="s">
        <v>184</v>
      </c>
      <c r="W5711">
        <v>4021.63</v>
      </c>
    </row>
    <row r="5712" spans="21:23">
      <c r="U5712" s="737">
        <f t="shared" si="89"/>
        <v>45505</v>
      </c>
      <c r="V5712" s="738" t="s">
        <v>185</v>
      </c>
      <c r="W5712">
        <v>4021.63</v>
      </c>
    </row>
    <row r="5713" spans="21:23">
      <c r="U5713" s="737">
        <f t="shared" si="89"/>
        <v>45505</v>
      </c>
      <c r="V5713" s="738" t="s">
        <v>186</v>
      </c>
      <c r="W5713">
        <v>4021.63</v>
      </c>
    </row>
    <row r="5714" spans="21:23">
      <c r="U5714" s="737">
        <f t="shared" si="89"/>
        <v>45505</v>
      </c>
      <c r="V5714" s="738" t="s">
        <v>187</v>
      </c>
      <c r="W5714">
        <v>4011.37</v>
      </c>
    </row>
    <row r="5715" spans="21:23">
      <c r="U5715" s="737">
        <f t="shared" si="89"/>
        <v>45505</v>
      </c>
      <c r="V5715" s="738" t="s">
        <v>188</v>
      </c>
      <c r="W5715">
        <v>4013.98</v>
      </c>
    </row>
    <row r="5716" spans="21:23">
      <c r="U5716" s="737">
        <f t="shared" si="89"/>
        <v>45505</v>
      </c>
      <c r="V5716" s="738" t="s">
        <v>189</v>
      </c>
      <c r="W5716">
        <v>4064.03</v>
      </c>
    </row>
    <row r="5717" spans="21:23">
      <c r="U5717" s="737">
        <f t="shared" si="89"/>
        <v>45505</v>
      </c>
      <c r="V5717" s="738" t="s">
        <v>190</v>
      </c>
      <c r="W5717">
        <v>4030.52</v>
      </c>
    </row>
    <row r="5718" spans="21:23">
      <c r="U5718" s="737">
        <f t="shared" ref="U5718:U5781" si="90">+DATE(YEAR(V5718),MONTH(V5718),1)</f>
        <v>45505</v>
      </c>
      <c r="V5718" s="738" t="s">
        <v>191</v>
      </c>
      <c r="W5718">
        <v>4030.52</v>
      </c>
    </row>
    <row r="5719" spans="21:23">
      <c r="U5719" s="737">
        <f t="shared" si="90"/>
        <v>45505</v>
      </c>
      <c r="V5719" s="738" t="s">
        <v>192</v>
      </c>
      <c r="W5719">
        <v>4030.52</v>
      </c>
    </row>
    <row r="5720" spans="21:23">
      <c r="U5720" s="737">
        <f t="shared" si="90"/>
        <v>45505</v>
      </c>
      <c r="V5720" s="738" t="s">
        <v>193</v>
      </c>
      <c r="W5720">
        <v>4023.92</v>
      </c>
    </row>
    <row r="5721" spans="21:23">
      <c r="U5721" s="737">
        <f t="shared" si="90"/>
        <v>45505</v>
      </c>
      <c r="V5721" s="738" t="s">
        <v>194</v>
      </c>
      <c r="W5721">
        <v>4045.64</v>
      </c>
    </row>
    <row r="5722" spans="21:23">
      <c r="U5722" s="737">
        <f t="shared" si="90"/>
        <v>45505</v>
      </c>
      <c r="V5722" s="738" t="s">
        <v>195</v>
      </c>
      <c r="W5722">
        <v>4065.34</v>
      </c>
    </row>
    <row r="5723" spans="21:23">
      <c r="U5723" s="737">
        <f t="shared" si="90"/>
        <v>45505</v>
      </c>
      <c r="V5723" s="738" t="s">
        <v>196</v>
      </c>
      <c r="W5723">
        <v>4132.1099999999997</v>
      </c>
    </row>
    <row r="5724" spans="21:23">
      <c r="U5724" s="737">
        <f t="shared" si="90"/>
        <v>45505</v>
      </c>
      <c r="V5724" s="738" t="s">
        <v>197</v>
      </c>
      <c r="W5724">
        <v>4160.3100000000004</v>
      </c>
    </row>
    <row r="5725" spans="21:23">
      <c r="U5725" s="737">
        <f t="shared" si="90"/>
        <v>45536</v>
      </c>
      <c r="V5725" s="738" t="s">
        <v>198</v>
      </c>
      <c r="W5725">
        <v>4160.3100000000004</v>
      </c>
    </row>
    <row r="5726" spans="21:23">
      <c r="U5726" s="737">
        <f t="shared" si="90"/>
        <v>45536</v>
      </c>
      <c r="V5726" s="738" t="s">
        <v>199</v>
      </c>
      <c r="W5726">
        <v>4160.3100000000004</v>
      </c>
    </row>
    <row r="5727" spans="21:23">
      <c r="U5727" s="737">
        <f t="shared" si="90"/>
        <v>45536</v>
      </c>
      <c r="V5727" s="738" t="s">
        <v>200</v>
      </c>
      <c r="W5727">
        <v>4160.3100000000004</v>
      </c>
    </row>
    <row r="5728" spans="21:23">
      <c r="U5728" s="737">
        <f t="shared" si="90"/>
        <v>45536</v>
      </c>
      <c r="V5728" s="738" t="s">
        <v>201</v>
      </c>
      <c r="W5728">
        <v>4185.8</v>
      </c>
    </row>
    <row r="5729" spans="21:23">
      <c r="U5729" s="737">
        <f t="shared" si="90"/>
        <v>45536</v>
      </c>
      <c r="V5729" s="738" t="s">
        <v>202</v>
      </c>
      <c r="W5729">
        <v>4185.82</v>
      </c>
    </row>
    <row r="5730" spans="21:23">
      <c r="U5730" s="737">
        <f t="shared" si="90"/>
        <v>45536</v>
      </c>
      <c r="V5730" s="738" t="s">
        <v>203</v>
      </c>
      <c r="W5730">
        <v>4172.5</v>
      </c>
    </row>
    <row r="5731" spans="21:23">
      <c r="U5731" s="737">
        <f t="shared" si="90"/>
        <v>45536</v>
      </c>
      <c r="V5731" s="738" t="s">
        <v>204</v>
      </c>
      <c r="W5731">
        <v>4149.79</v>
      </c>
    </row>
    <row r="5732" spans="21:23">
      <c r="U5732" s="737">
        <f t="shared" si="90"/>
        <v>45536</v>
      </c>
      <c r="V5732" s="738" t="s">
        <v>205</v>
      </c>
      <c r="W5732">
        <v>4149.79</v>
      </c>
    </row>
    <row r="5733" spans="21:23">
      <c r="U5733" s="737">
        <f t="shared" si="90"/>
        <v>45536</v>
      </c>
      <c r="V5733" s="738" t="s">
        <v>206</v>
      </c>
      <c r="W5733">
        <v>4149.79</v>
      </c>
    </row>
    <row r="5734" spans="21:23">
      <c r="U5734" s="737">
        <f t="shared" si="90"/>
        <v>45536</v>
      </c>
      <c r="V5734" s="738" t="s">
        <v>207</v>
      </c>
      <c r="W5734">
        <v>4220.68</v>
      </c>
    </row>
    <row r="5735" spans="21:23">
      <c r="U5735" s="737">
        <f t="shared" si="90"/>
        <v>45536</v>
      </c>
      <c r="V5735" s="738" t="s">
        <v>208</v>
      </c>
      <c r="W5735">
        <v>4285.6099999999997</v>
      </c>
    </row>
    <row r="5736" spans="21:23">
      <c r="U5736" s="737">
        <f t="shared" si="90"/>
        <v>45536</v>
      </c>
      <c r="V5736" s="738" t="s">
        <v>209</v>
      </c>
      <c r="W5736">
        <v>4278.28</v>
      </c>
    </row>
    <row r="5737" spans="21:23">
      <c r="U5737" s="737">
        <f t="shared" si="90"/>
        <v>45536</v>
      </c>
      <c r="V5737" s="738" t="s">
        <v>210</v>
      </c>
      <c r="W5737">
        <v>4236.63</v>
      </c>
    </row>
    <row r="5738" spans="21:23">
      <c r="U5738" s="737">
        <f t="shared" si="90"/>
        <v>45536</v>
      </c>
      <c r="V5738" s="738" t="s">
        <v>211</v>
      </c>
      <c r="W5738">
        <v>4172.13</v>
      </c>
    </row>
    <row r="5739" spans="21:23">
      <c r="U5739" s="737">
        <f t="shared" si="90"/>
        <v>45536</v>
      </c>
      <c r="V5739" s="738" t="s">
        <v>212</v>
      </c>
      <c r="W5739">
        <v>4172.13</v>
      </c>
    </row>
    <row r="5740" spans="21:23">
      <c r="U5740" s="737">
        <f t="shared" si="90"/>
        <v>45536</v>
      </c>
      <c r="V5740" s="738" t="s">
        <v>213</v>
      </c>
      <c r="W5740">
        <v>4172.13</v>
      </c>
    </row>
    <row r="5741" spans="21:23">
      <c r="U5741" s="737">
        <f t="shared" si="90"/>
        <v>45536</v>
      </c>
      <c r="V5741" s="738" t="s">
        <v>214</v>
      </c>
      <c r="W5741">
        <v>4220.58</v>
      </c>
    </row>
    <row r="5742" spans="21:23">
      <c r="U5742" s="737">
        <f t="shared" si="90"/>
        <v>45536</v>
      </c>
      <c r="V5742" s="738" t="s">
        <v>215</v>
      </c>
      <c r="W5742">
        <v>4239.33</v>
      </c>
    </row>
    <row r="5743" spans="21:23">
      <c r="U5743" s="737">
        <f t="shared" si="90"/>
        <v>45536</v>
      </c>
      <c r="V5743" s="738" t="s">
        <v>216</v>
      </c>
      <c r="W5743">
        <v>4189.46</v>
      </c>
    </row>
    <row r="5744" spans="21:23">
      <c r="U5744" s="737">
        <f t="shared" si="90"/>
        <v>45536</v>
      </c>
      <c r="V5744" s="738" t="s">
        <v>217</v>
      </c>
      <c r="W5744">
        <v>4175.1000000000004</v>
      </c>
    </row>
    <row r="5745" spans="21:23">
      <c r="U5745" s="737">
        <f t="shared" si="90"/>
        <v>45536</v>
      </c>
      <c r="V5745" s="738" t="s">
        <v>218</v>
      </c>
      <c r="W5745">
        <v>4156.8900000000003</v>
      </c>
    </row>
    <row r="5746" spans="21:23">
      <c r="U5746" s="737">
        <f t="shared" si="90"/>
        <v>45536</v>
      </c>
      <c r="V5746" s="738" t="s">
        <v>219</v>
      </c>
      <c r="W5746">
        <v>4156.8900000000003</v>
      </c>
    </row>
    <row r="5747" spans="21:23">
      <c r="U5747" s="737">
        <f t="shared" si="90"/>
        <v>45536</v>
      </c>
      <c r="V5747" s="738" t="s">
        <v>220</v>
      </c>
      <c r="W5747">
        <v>4156.8900000000003</v>
      </c>
    </row>
    <row r="5748" spans="21:23">
      <c r="U5748" s="737">
        <f t="shared" si="90"/>
        <v>45536</v>
      </c>
      <c r="V5748" s="738" t="s">
        <v>221</v>
      </c>
      <c r="W5748">
        <v>4155.3100000000004</v>
      </c>
    </row>
    <row r="5749" spans="21:23">
      <c r="U5749" s="737">
        <f t="shared" si="90"/>
        <v>45536</v>
      </c>
      <c r="V5749" s="738" t="s">
        <v>222</v>
      </c>
      <c r="W5749">
        <v>4139.43</v>
      </c>
    </row>
    <row r="5750" spans="21:23">
      <c r="U5750" s="737">
        <f t="shared" si="90"/>
        <v>45536</v>
      </c>
      <c r="V5750" s="738" t="s">
        <v>223</v>
      </c>
      <c r="W5750">
        <v>4192.74</v>
      </c>
    </row>
    <row r="5751" spans="21:23">
      <c r="U5751" s="737">
        <f t="shared" si="90"/>
        <v>45536</v>
      </c>
      <c r="V5751" s="738" t="s">
        <v>224</v>
      </c>
      <c r="W5751">
        <v>4188.1099999999997</v>
      </c>
    </row>
    <row r="5752" spans="21:23">
      <c r="U5752" s="737">
        <f t="shared" si="90"/>
        <v>45536</v>
      </c>
      <c r="V5752" s="738" t="s">
        <v>225</v>
      </c>
      <c r="W5752">
        <v>4164.21</v>
      </c>
    </row>
    <row r="5753" spans="21:23">
      <c r="U5753" s="737">
        <f t="shared" si="90"/>
        <v>45536</v>
      </c>
      <c r="V5753" s="738" t="s">
        <v>226</v>
      </c>
      <c r="W5753">
        <v>4164.21</v>
      </c>
    </row>
    <row r="5754" spans="21:23">
      <c r="U5754" s="737">
        <f t="shared" si="90"/>
        <v>45536</v>
      </c>
      <c r="V5754" s="738" t="s">
        <v>227</v>
      </c>
      <c r="W5754">
        <v>4164.21</v>
      </c>
    </row>
    <row r="5755" spans="21:23">
      <c r="U5755" s="737">
        <f t="shared" si="90"/>
        <v>45566</v>
      </c>
      <c r="V5755" s="738" t="s">
        <v>228</v>
      </c>
      <c r="W5755">
        <v>4178.3</v>
      </c>
    </row>
    <row r="5756" spans="21:23">
      <c r="U5756" s="737">
        <f t="shared" si="90"/>
        <v>45566</v>
      </c>
      <c r="V5756" s="738" t="s">
        <v>229</v>
      </c>
      <c r="W5756">
        <v>4224.21</v>
      </c>
    </row>
    <row r="5757" spans="21:23">
      <c r="U5757" s="737">
        <f t="shared" si="90"/>
        <v>45566</v>
      </c>
      <c r="V5757" s="738" t="s">
        <v>230</v>
      </c>
      <c r="W5757">
        <v>4203.43</v>
      </c>
    </row>
    <row r="5758" spans="21:23">
      <c r="U5758" s="737">
        <f t="shared" si="90"/>
        <v>45566</v>
      </c>
      <c r="V5758" s="738" t="s">
        <v>231</v>
      </c>
      <c r="W5758">
        <v>4197.7299999999996</v>
      </c>
    </row>
    <row r="5759" spans="21:23">
      <c r="U5759" s="737">
        <f t="shared" si="90"/>
        <v>45566</v>
      </c>
      <c r="V5759" s="738" t="s">
        <v>232</v>
      </c>
      <c r="W5759">
        <v>4173.66</v>
      </c>
    </row>
    <row r="5760" spans="21:23">
      <c r="U5760" s="737">
        <f t="shared" si="90"/>
        <v>45566</v>
      </c>
      <c r="V5760" s="738" t="s">
        <v>233</v>
      </c>
      <c r="W5760">
        <v>4173.66</v>
      </c>
    </row>
    <row r="5761" spans="21:23">
      <c r="U5761" s="737">
        <f t="shared" si="90"/>
        <v>45566</v>
      </c>
      <c r="V5761" s="738" t="s">
        <v>234</v>
      </c>
      <c r="W5761">
        <v>4173.66</v>
      </c>
    </row>
    <row r="5762" spans="21:23">
      <c r="U5762" s="737">
        <f t="shared" si="90"/>
        <v>45566</v>
      </c>
      <c r="V5762" s="738" t="s">
        <v>235</v>
      </c>
      <c r="W5762">
        <v>4194.97</v>
      </c>
    </row>
    <row r="5763" spans="21:23">
      <c r="U5763" s="737">
        <f t="shared" si="90"/>
        <v>45566</v>
      </c>
      <c r="V5763" s="738" t="s">
        <v>236</v>
      </c>
      <c r="W5763">
        <v>4233.54</v>
      </c>
    </row>
    <row r="5764" spans="21:23">
      <c r="U5764" s="737">
        <f t="shared" si="90"/>
        <v>45566</v>
      </c>
      <c r="V5764" s="738" t="s">
        <v>237</v>
      </c>
      <c r="W5764">
        <v>4233.17</v>
      </c>
    </row>
    <row r="5765" spans="21:23">
      <c r="U5765" s="737">
        <f t="shared" si="90"/>
        <v>45566</v>
      </c>
      <c r="V5765" s="738" t="s">
        <v>238</v>
      </c>
      <c r="W5765">
        <v>4217.3999999999996</v>
      </c>
    </row>
    <row r="5766" spans="21:23">
      <c r="U5766" s="737">
        <f t="shared" si="90"/>
        <v>45566</v>
      </c>
      <c r="V5766" s="738" t="s">
        <v>239</v>
      </c>
      <c r="W5766">
        <v>4192.5600000000004</v>
      </c>
    </row>
    <row r="5767" spans="21:23">
      <c r="U5767" s="737">
        <f t="shared" si="90"/>
        <v>45566</v>
      </c>
      <c r="V5767" s="738" t="s">
        <v>240</v>
      </c>
      <c r="W5767">
        <v>4192.5600000000004</v>
      </c>
    </row>
    <row r="5768" spans="21:23">
      <c r="U5768" s="737">
        <f t="shared" si="90"/>
        <v>45566</v>
      </c>
      <c r="V5768" s="738" t="s">
        <v>241</v>
      </c>
      <c r="W5768">
        <v>4192.5600000000004</v>
      </c>
    </row>
    <row r="5769" spans="21:23">
      <c r="U5769" s="737">
        <f t="shared" si="90"/>
        <v>45566</v>
      </c>
      <c r="V5769" s="738" t="s">
        <v>242</v>
      </c>
      <c r="W5769">
        <v>4192.5600000000004</v>
      </c>
    </row>
    <row r="5770" spans="21:23">
      <c r="U5770" s="737">
        <f t="shared" si="90"/>
        <v>45566</v>
      </c>
      <c r="V5770" s="738" t="s">
        <v>243</v>
      </c>
      <c r="W5770">
        <v>4244.84</v>
      </c>
    </row>
    <row r="5771" spans="21:23">
      <c r="U5771" s="737">
        <f t="shared" si="90"/>
        <v>45566</v>
      </c>
      <c r="V5771" s="738" t="s">
        <v>244</v>
      </c>
      <c r="W5771">
        <v>4266.2</v>
      </c>
    </row>
    <row r="5772" spans="21:23">
      <c r="U5772" s="737">
        <f t="shared" si="90"/>
        <v>45566</v>
      </c>
      <c r="V5772" s="738" t="s">
        <v>245</v>
      </c>
      <c r="W5772">
        <v>4263.17</v>
      </c>
    </row>
    <row r="5773" spans="21:23">
      <c r="U5773" s="737">
        <f t="shared" si="90"/>
        <v>45566</v>
      </c>
      <c r="V5773" s="738" t="s">
        <v>246</v>
      </c>
      <c r="W5773">
        <v>4252.1499999999996</v>
      </c>
    </row>
    <row r="5774" spans="21:23">
      <c r="U5774" s="737">
        <f t="shared" si="90"/>
        <v>45566</v>
      </c>
      <c r="V5774" s="738" t="s">
        <v>247</v>
      </c>
      <c r="W5774">
        <v>4252.1499999999996</v>
      </c>
    </row>
    <row r="5775" spans="21:23">
      <c r="U5775" s="737">
        <f t="shared" si="90"/>
        <v>45566</v>
      </c>
      <c r="V5775" s="738" t="s">
        <v>248</v>
      </c>
      <c r="W5775">
        <v>4252.1499999999996</v>
      </c>
    </row>
    <row r="5776" spans="21:23">
      <c r="U5776" s="737">
        <f t="shared" si="90"/>
        <v>45566</v>
      </c>
      <c r="V5776" s="738" t="s">
        <v>249</v>
      </c>
      <c r="W5776">
        <v>4286.96</v>
      </c>
    </row>
    <row r="5777" spans="21:23">
      <c r="U5777" s="737">
        <f t="shared" si="90"/>
        <v>45566</v>
      </c>
      <c r="V5777" s="738" t="s">
        <v>250</v>
      </c>
      <c r="W5777">
        <v>4262.3</v>
      </c>
    </row>
    <row r="5778" spans="21:23">
      <c r="U5778" s="737">
        <f t="shared" si="90"/>
        <v>45566</v>
      </c>
      <c r="V5778" s="738" t="s">
        <v>251</v>
      </c>
      <c r="W5778">
        <v>4293.91</v>
      </c>
    </row>
    <row r="5779" spans="21:23">
      <c r="U5779" s="737">
        <f t="shared" si="90"/>
        <v>45566</v>
      </c>
      <c r="V5779" s="738" t="s">
        <v>252</v>
      </c>
      <c r="W5779">
        <v>4311.83</v>
      </c>
    </row>
    <row r="5780" spans="21:23">
      <c r="U5780" s="737">
        <f t="shared" si="90"/>
        <v>45566</v>
      </c>
      <c r="V5780" s="738" t="s">
        <v>253</v>
      </c>
      <c r="W5780">
        <v>4316.7299999999996</v>
      </c>
    </row>
    <row r="5781" spans="21:23">
      <c r="U5781" s="737">
        <f t="shared" si="90"/>
        <v>45566</v>
      </c>
      <c r="V5781" s="738" t="s">
        <v>254</v>
      </c>
      <c r="W5781">
        <v>4316.7299999999996</v>
      </c>
    </row>
    <row r="5782" spans="21:23">
      <c r="U5782" s="737">
        <f t="shared" ref="U5782:U5845" si="91">+DATE(YEAR(V5782),MONTH(V5782),1)</f>
        <v>45566</v>
      </c>
      <c r="V5782" s="738" t="s">
        <v>255</v>
      </c>
      <c r="W5782">
        <v>4316.7299999999996</v>
      </c>
    </row>
    <row r="5783" spans="21:23">
      <c r="U5783" s="737">
        <f t="shared" si="91"/>
        <v>45566</v>
      </c>
      <c r="V5783" s="738" t="s">
        <v>256</v>
      </c>
      <c r="W5783">
        <v>4342.8999999999996</v>
      </c>
    </row>
    <row r="5784" spans="21:23">
      <c r="U5784" s="737">
        <f t="shared" si="91"/>
        <v>45566</v>
      </c>
      <c r="V5784" s="738" t="s">
        <v>257</v>
      </c>
      <c r="W5784">
        <v>4367.3900000000003</v>
      </c>
    </row>
    <row r="5785" spans="21:23">
      <c r="U5785" s="737">
        <f t="shared" si="91"/>
        <v>45566</v>
      </c>
      <c r="V5785" s="738" t="s">
        <v>258</v>
      </c>
      <c r="W5785">
        <v>4413.46</v>
      </c>
    </row>
    <row r="5786" spans="21:23">
      <c r="U5786" s="737">
        <f t="shared" si="91"/>
        <v>45597</v>
      </c>
      <c r="V5786" s="738" t="s">
        <v>259</v>
      </c>
      <c r="W5786">
        <v>4409.57</v>
      </c>
    </row>
    <row r="5787" spans="21:23">
      <c r="U5787" s="737">
        <f t="shared" si="91"/>
        <v>45597</v>
      </c>
      <c r="V5787" s="738" t="s">
        <v>260</v>
      </c>
      <c r="W5787">
        <v>4414</v>
      </c>
    </row>
    <row r="5788" spans="21:23">
      <c r="U5788" s="737">
        <f t="shared" si="91"/>
        <v>45597</v>
      </c>
      <c r="V5788" s="738" t="s">
        <v>261</v>
      </c>
      <c r="W5788">
        <v>4414</v>
      </c>
    </row>
    <row r="5789" spans="21:23">
      <c r="U5789" s="737">
        <f t="shared" si="91"/>
        <v>45597</v>
      </c>
      <c r="V5789" s="738" t="s">
        <v>262</v>
      </c>
      <c r="W5789">
        <v>4414</v>
      </c>
    </row>
    <row r="5790" spans="21:23">
      <c r="U5790" s="737">
        <f t="shared" si="91"/>
        <v>45597</v>
      </c>
      <c r="V5790" s="738" t="s">
        <v>263</v>
      </c>
      <c r="W5790">
        <v>4414</v>
      </c>
    </row>
    <row r="5791" spans="21:23">
      <c r="U5791" s="737">
        <f t="shared" si="91"/>
        <v>45597</v>
      </c>
      <c r="V5791" s="738" t="s">
        <v>264</v>
      </c>
      <c r="W5791">
        <v>4421.8599999999997</v>
      </c>
    </row>
    <row r="5792" spans="21:23">
      <c r="U5792" s="737">
        <f t="shared" si="91"/>
        <v>45597</v>
      </c>
      <c r="V5792" s="738" t="s">
        <v>265</v>
      </c>
      <c r="W5792">
        <v>4430.3999999999996</v>
      </c>
    </row>
    <row r="5793" spans="21:23">
      <c r="U5793" s="737">
        <f t="shared" si="91"/>
        <v>45597</v>
      </c>
      <c r="V5793" s="738" t="s">
        <v>266</v>
      </c>
      <c r="W5793">
        <v>4344.55</v>
      </c>
    </row>
    <row r="5794" spans="21:23">
      <c r="U5794" s="737">
        <f t="shared" si="91"/>
        <v>45597</v>
      </c>
      <c r="V5794" s="738" t="s">
        <v>267</v>
      </c>
      <c r="W5794">
        <v>4346.7</v>
      </c>
    </row>
    <row r="5795" spans="21:23">
      <c r="U5795" s="737">
        <f t="shared" si="91"/>
        <v>45597</v>
      </c>
      <c r="V5795" s="738" t="s">
        <v>268</v>
      </c>
      <c r="W5795">
        <v>4346.7</v>
      </c>
    </row>
    <row r="5796" spans="21:23">
      <c r="U5796" s="737">
        <f t="shared" si="91"/>
        <v>45597</v>
      </c>
      <c r="V5796" s="738" t="s">
        <v>269</v>
      </c>
      <c r="W5796">
        <v>4346.7</v>
      </c>
    </row>
    <row r="5797" spans="21:23">
      <c r="U5797" s="737">
        <f t="shared" si="91"/>
        <v>45597</v>
      </c>
      <c r="V5797" s="738" t="s">
        <v>270</v>
      </c>
      <c r="W5797">
        <v>4346.7</v>
      </c>
    </row>
    <row r="5798" spans="21:23">
      <c r="U5798" s="737">
        <f t="shared" si="91"/>
        <v>45597</v>
      </c>
      <c r="V5798" s="738" t="s">
        <v>271</v>
      </c>
      <c r="W5798">
        <v>4413.79</v>
      </c>
    </row>
    <row r="5799" spans="21:23">
      <c r="U5799" s="737">
        <f t="shared" si="91"/>
        <v>45597</v>
      </c>
      <c r="V5799" s="738" t="s">
        <v>272</v>
      </c>
      <c r="W5799">
        <v>4478.21</v>
      </c>
    </row>
    <row r="5800" spans="21:23">
      <c r="U5800" s="737">
        <f t="shared" si="91"/>
        <v>45597</v>
      </c>
      <c r="V5800" s="738" t="s">
        <v>273</v>
      </c>
      <c r="W5800">
        <v>4475.57</v>
      </c>
    </row>
    <row r="5801" spans="21:23">
      <c r="U5801" s="737">
        <f t="shared" si="91"/>
        <v>45597</v>
      </c>
      <c r="V5801" s="738" t="s">
        <v>274</v>
      </c>
      <c r="W5801">
        <v>4454.68</v>
      </c>
    </row>
    <row r="5802" spans="21:23">
      <c r="U5802" s="737">
        <f t="shared" si="91"/>
        <v>45597</v>
      </c>
      <c r="V5802" s="738" t="s">
        <v>275</v>
      </c>
      <c r="W5802">
        <v>4454.68</v>
      </c>
    </row>
    <row r="5803" spans="21:23">
      <c r="U5803" s="737">
        <f t="shared" si="91"/>
        <v>45597</v>
      </c>
      <c r="V5803" s="738" t="s">
        <v>276</v>
      </c>
      <c r="W5803">
        <v>4454.68</v>
      </c>
    </row>
    <row r="5804" spans="21:23">
      <c r="U5804" s="737">
        <f t="shared" si="91"/>
        <v>45597</v>
      </c>
      <c r="V5804" s="738" t="s">
        <v>277</v>
      </c>
      <c r="W5804">
        <v>4400.6899999999996</v>
      </c>
    </row>
    <row r="5805" spans="21:23">
      <c r="U5805" s="737">
        <f t="shared" si="91"/>
        <v>45597</v>
      </c>
      <c r="V5805" s="738" t="s">
        <v>278</v>
      </c>
      <c r="W5805">
        <v>4401.34</v>
      </c>
    </row>
    <row r="5806" spans="21:23">
      <c r="U5806" s="737">
        <f t="shared" si="91"/>
        <v>45597</v>
      </c>
      <c r="V5806" s="738" t="s">
        <v>279</v>
      </c>
      <c r="W5806">
        <v>4414.0600000000004</v>
      </c>
    </row>
    <row r="5807" spans="21:23">
      <c r="U5807" s="737">
        <f t="shared" si="91"/>
        <v>45597</v>
      </c>
      <c r="V5807" s="738" t="s">
        <v>280</v>
      </c>
      <c r="W5807">
        <v>4387.09</v>
      </c>
    </row>
    <row r="5808" spans="21:23">
      <c r="U5808" s="737">
        <f t="shared" si="91"/>
        <v>45597</v>
      </c>
      <c r="V5808" s="738" t="s">
        <v>281</v>
      </c>
      <c r="W5808">
        <v>4418.58</v>
      </c>
    </row>
    <row r="5809" spans="21:23">
      <c r="U5809" s="737">
        <f t="shared" si="91"/>
        <v>45597</v>
      </c>
      <c r="V5809" s="738" t="s">
        <v>282</v>
      </c>
      <c r="W5809">
        <v>4418.58</v>
      </c>
    </row>
    <row r="5810" spans="21:23">
      <c r="U5810" s="737">
        <f t="shared" si="91"/>
        <v>45597</v>
      </c>
      <c r="V5810" s="738" t="s">
        <v>283</v>
      </c>
      <c r="W5810">
        <v>4418.58</v>
      </c>
    </row>
    <row r="5811" spans="21:23">
      <c r="U5811" s="737">
        <f t="shared" si="91"/>
        <v>45597</v>
      </c>
      <c r="V5811" s="738" t="s">
        <v>284</v>
      </c>
      <c r="W5811">
        <v>4381.99</v>
      </c>
    </row>
    <row r="5812" spans="21:23">
      <c r="U5812" s="737">
        <f t="shared" si="91"/>
        <v>45597</v>
      </c>
      <c r="V5812" s="738" t="s">
        <v>285</v>
      </c>
      <c r="W5812">
        <v>4405.96</v>
      </c>
    </row>
    <row r="5813" spans="21:23">
      <c r="U5813" s="737">
        <f t="shared" si="91"/>
        <v>45597</v>
      </c>
      <c r="V5813" s="738" t="s">
        <v>286</v>
      </c>
      <c r="W5813">
        <v>4406.16</v>
      </c>
    </row>
    <row r="5814" spans="21:23">
      <c r="U5814" s="737">
        <f t="shared" si="91"/>
        <v>45597</v>
      </c>
      <c r="V5814" s="738" t="s">
        <v>287</v>
      </c>
      <c r="W5814">
        <v>4406.16</v>
      </c>
    </row>
    <row r="5815" spans="21:23">
      <c r="U5815" s="737">
        <f t="shared" si="91"/>
        <v>45597</v>
      </c>
      <c r="V5815" s="738" t="s">
        <v>288</v>
      </c>
      <c r="W5815">
        <v>4419.59</v>
      </c>
    </row>
    <row r="5816" spans="21:23">
      <c r="U5816" s="737">
        <f t="shared" si="91"/>
        <v>45627</v>
      </c>
      <c r="V5816" s="738" t="s">
        <v>289</v>
      </c>
      <c r="W5816">
        <v>4419.59</v>
      </c>
    </row>
    <row r="5817" spans="21:23">
      <c r="U5817" s="737">
        <f t="shared" si="91"/>
        <v>45627</v>
      </c>
      <c r="V5817" s="738" t="s">
        <v>290</v>
      </c>
      <c r="W5817">
        <v>4419.59</v>
      </c>
    </row>
    <row r="5818" spans="21:23">
      <c r="U5818" s="737">
        <f t="shared" si="91"/>
        <v>45627</v>
      </c>
      <c r="V5818" s="738" t="s">
        <v>291</v>
      </c>
      <c r="W5818">
        <v>4462.97</v>
      </c>
    </row>
    <row r="5819" spans="21:23">
      <c r="U5819" s="737">
        <f t="shared" si="91"/>
        <v>45627</v>
      </c>
      <c r="V5819" s="738" t="s">
        <v>292</v>
      </c>
      <c r="W5819">
        <v>4443.53</v>
      </c>
    </row>
    <row r="5820" spans="21:23">
      <c r="U5820" s="737">
        <f t="shared" si="91"/>
        <v>45627</v>
      </c>
      <c r="V5820" s="738" t="s">
        <v>293</v>
      </c>
      <c r="W5820">
        <v>4424.5600000000004</v>
      </c>
    </row>
    <row r="5821" spans="21:23">
      <c r="U5821" s="737">
        <f t="shared" si="91"/>
        <v>45627</v>
      </c>
      <c r="V5821" s="738" t="s">
        <v>294</v>
      </c>
      <c r="W5821">
        <v>4407.13</v>
      </c>
    </row>
    <row r="5822" spans="21:23">
      <c r="U5822" s="737">
        <f t="shared" si="91"/>
        <v>45627</v>
      </c>
      <c r="V5822" s="738" t="s">
        <v>295</v>
      </c>
      <c r="W5822">
        <v>4396.5200000000004</v>
      </c>
    </row>
    <row r="5823" spans="21:23">
      <c r="U5823" s="737">
        <f t="shared" si="91"/>
        <v>45627</v>
      </c>
      <c r="V5823" s="738" t="s">
        <v>296</v>
      </c>
      <c r="W5823">
        <v>4396.5200000000004</v>
      </c>
    </row>
    <row r="5824" spans="21:23">
      <c r="U5824" s="737">
        <f t="shared" si="91"/>
        <v>45627</v>
      </c>
      <c r="V5824" s="738" t="s">
        <v>297</v>
      </c>
      <c r="W5824">
        <v>4396.5200000000004</v>
      </c>
    </row>
    <row r="5825" spans="21:23">
      <c r="U5825" s="737">
        <f t="shared" si="91"/>
        <v>45627</v>
      </c>
      <c r="V5825" s="738" t="s">
        <v>298</v>
      </c>
      <c r="W5825">
        <v>4379.71</v>
      </c>
    </row>
    <row r="5826" spans="21:23">
      <c r="U5826" s="737">
        <f t="shared" si="91"/>
        <v>45627</v>
      </c>
      <c r="V5826" s="738" t="s">
        <v>299</v>
      </c>
      <c r="W5826">
        <v>4377.34</v>
      </c>
    </row>
    <row r="5827" spans="21:23">
      <c r="U5827" s="737">
        <f t="shared" si="91"/>
        <v>45627</v>
      </c>
      <c r="V5827" s="738" t="s">
        <v>300</v>
      </c>
      <c r="W5827">
        <v>4361.22</v>
      </c>
    </row>
    <row r="5828" spans="21:23">
      <c r="U5828" s="737">
        <f t="shared" si="91"/>
        <v>45627</v>
      </c>
      <c r="V5828" s="738" t="s">
        <v>301</v>
      </c>
      <c r="W5828">
        <v>4335.2</v>
      </c>
    </row>
    <row r="5829" spans="21:23">
      <c r="U5829" s="737">
        <f t="shared" si="91"/>
        <v>45627</v>
      </c>
      <c r="V5829" s="738" t="s">
        <v>302</v>
      </c>
      <c r="W5829">
        <v>4341.32</v>
      </c>
    </row>
    <row r="5830" spans="21:23">
      <c r="U5830" s="737">
        <f t="shared" si="91"/>
        <v>45627</v>
      </c>
      <c r="V5830" s="738" t="s">
        <v>303</v>
      </c>
      <c r="W5830">
        <v>4341.32</v>
      </c>
    </row>
    <row r="5831" spans="21:23">
      <c r="U5831" s="737">
        <f t="shared" si="91"/>
        <v>45627</v>
      </c>
      <c r="V5831" s="738" t="s">
        <v>304</v>
      </c>
      <c r="W5831">
        <v>4341.32</v>
      </c>
    </row>
    <row r="5832" spans="21:23">
      <c r="U5832" s="737">
        <f t="shared" si="91"/>
        <v>45627</v>
      </c>
      <c r="V5832" s="738" t="s">
        <v>305</v>
      </c>
      <c r="W5832">
        <v>4324.1899999999996</v>
      </c>
    </row>
    <row r="5833" spans="21:23">
      <c r="U5833" s="737">
        <f t="shared" si="91"/>
        <v>45627</v>
      </c>
      <c r="V5833" s="738" t="s">
        <v>306</v>
      </c>
      <c r="W5833">
        <v>4345.32</v>
      </c>
    </row>
    <row r="5834" spans="21:23">
      <c r="U5834" s="737">
        <f t="shared" si="91"/>
        <v>45627</v>
      </c>
      <c r="V5834" s="738" t="s">
        <v>307</v>
      </c>
      <c r="W5834">
        <v>4359.1099999999997</v>
      </c>
    </row>
    <row r="5835" spans="21:23">
      <c r="U5835" s="737">
        <f t="shared" si="91"/>
        <v>45627</v>
      </c>
      <c r="V5835" s="738" t="s">
        <v>308</v>
      </c>
      <c r="W5835">
        <v>4394.5</v>
      </c>
    </row>
    <row r="5836" spans="21:23">
      <c r="U5836" s="737">
        <f t="shared" si="91"/>
        <v>45627</v>
      </c>
      <c r="V5836" s="738" t="s">
        <v>309</v>
      </c>
      <c r="W5836">
        <v>4374.62</v>
      </c>
    </row>
    <row r="5837" spans="21:23">
      <c r="U5837" s="737">
        <f t="shared" si="91"/>
        <v>45627</v>
      </c>
      <c r="V5837" s="738" t="s">
        <v>310</v>
      </c>
      <c r="W5837">
        <v>4374.62</v>
      </c>
    </row>
    <row r="5838" spans="21:23">
      <c r="U5838" s="737">
        <f t="shared" si="91"/>
        <v>45627</v>
      </c>
      <c r="V5838" s="738" t="s">
        <v>311</v>
      </c>
      <c r="W5838">
        <v>4374.62</v>
      </c>
    </row>
    <row r="5839" spans="21:23">
      <c r="U5839" s="737">
        <f t="shared" si="91"/>
        <v>45627</v>
      </c>
      <c r="V5839" s="738" t="s">
        <v>312</v>
      </c>
      <c r="W5839">
        <v>4395.4399999999996</v>
      </c>
    </row>
    <row r="5840" spans="21:23">
      <c r="U5840" s="737">
        <f t="shared" si="91"/>
        <v>45627</v>
      </c>
      <c r="V5840" s="738" t="s">
        <v>313</v>
      </c>
      <c r="W5840">
        <v>4380.9399999999996</v>
      </c>
    </row>
    <row r="5841" spans="21:23">
      <c r="U5841" s="737">
        <f t="shared" si="91"/>
        <v>45627</v>
      </c>
      <c r="V5841" s="738" t="s">
        <v>314</v>
      </c>
      <c r="W5841">
        <v>4380.9399999999996</v>
      </c>
    </row>
    <row r="5842" spans="21:23">
      <c r="U5842" s="737">
        <f t="shared" si="91"/>
        <v>45627</v>
      </c>
      <c r="V5842" s="738" t="s">
        <v>315</v>
      </c>
      <c r="W5842">
        <v>4375.8599999999997</v>
      </c>
    </row>
    <row r="5843" spans="21:23">
      <c r="U5843" s="737">
        <f t="shared" si="91"/>
        <v>45627</v>
      </c>
      <c r="V5843" s="738" t="s">
        <v>316</v>
      </c>
      <c r="W5843">
        <v>4401.9799999999996</v>
      </c>
    </row>
    <row r="5844" spans="21:23">
      <c r="U5844" s="737">
        <f t="shared" si="91"/>
        <v>45627</v>
      </c>
      <c r="V5844" s="738" t="s">
        <v>317</v>
      </c>
      <c r="W5844">
        <v>4401.9799999999996</v>
      </c>
    </row>
    <row r="5845" spans="21:23">
      <c r="U5845" s="737">
        <f t="shared" si="91"/>
        <v>45627</v>
      </c>
      <c r="V5845" s="738" t="s">
        <v>318</v>
      </c>
      <c r="W5845">
        <v>4401.9799999999996</v>
      </c>
    </row>
    <row r="5846" spans="21:23">
      <c r="U5846" s="737">
        <f t="shared" ref="U5846:U5873" si="92">+DATE(YEAR(V5846),MONTH(V5846),1)</f>
        <v>45627</v>
      </c>
      <c r="V5846" s="738" t="s">
        <v>319</v>
      </c>
      <c r="W5846">
        <v>4409.1499999999996</v>
      </c>
    </row>
    <row r="5847" spans="21:23">
      <c r="U5847" s="786">
        <f t="shared" si="92"/>
        <v>45658</v>
      </c>
      <c r="V5847" s="787" t="s">
        <v>320</v>
      </c>
      <c r="W5847" s="1">
        <v>4409.1499999999996</v>
      </c>
    </row>
    <row r="5848" spans="21:23">
      <c r="U5848" s="786">
        <f t="shared" si="92"/>
        <v>45658</v>
      </c>
      <c r="V5848" s="787" t="s">
        <v>321</v>
      </c>
      <c r="W5848" s="1">
        <v>4409.1499999999996</v>
      </c>
    </row>
    <row r="5849" spans="21:23">
      <c r="U5849" s="786">
        <f t="shared" si="92"/>
        <v>45658</v>
      </c>
      <c r="V5849" s="787" t="s">
        <v>322</v>
      </c>
      <c r="W5849" s="1">
        <v>4410.5</v>
      </c>
    </row>
    <row r="5850" spans="21:23">
      <c r="U5850" s="786">
        <f t="shared" si="92"/>
        <v>45658</v>
      </c>
      <c r="V5850" s="787" t="s">
        <v>323</v>
      </c>
      <c r="W5850" s="1">
        <v>4355.51</v>
      </c>
    </row>
    <row r="5851" spans="21:23">
      <c r="U5851" s="786">
        <f t="shared" si="92"/>
        <v>45658</v>
      </c>
      <c r="V5851" s="787" t="s">
        <v>324</v>
      </c>
      <c r="W5851" s="1">
        <v>4355.51</v>
      </c>
    </row>
    <row r="5852" spans="21:23">
      <c r="U5852" s="786">
        <f t="shared" si="92"/>
        <v>45658</v>
      </c>
      <c r="V5852" s="787" t="s">
        <v>325</v>
      </c>
      <c r="W5852" s="1">
        <v>4355.51</v>
      </c>
    </row>
    <row r="5853" spans="21:23">
      <c r="U5853" s="786">
        <f t="shared" si="92"/>
        <v>45658</v>
      </c>
      <c r="V5853" s="787" t="s">
        <v>326</v>
      </c>
      <c r="W5853" s="1">
        <v>4355.51</v>
      </c>
    </row>
    <row r="5854" spans="21:23">
      <c r="U5854" s="786">
        <f t="shared" si="92"/>
        <v>45658</v>
      </c>
      <c r="V5854" s="787" t="s">
        <v>327</v>
      </c>
      <c r="W5854" s="1">
        <v>4342.3100000000004</v>
      </c>
    </row>
    <row r="5855" spans="21:23">
      <c r="U5855" s="786">
        <f t="shared" si="92"/>
        <v>45658</v>
      </c>
      <c r="V5855" s="787" t="s">
        <v>328</v>
      </c>
      <c r="W5855" s="1">
        <v>4347.42</v>
      </c>
    </row>
    <row r="5856" spans="21:23">
      <c r="U5856" s="786">
        <f t="shared" si="92"/>
        <v>45658</v>
      </c>
      <c r="V5856" s="787" t="s">
        <v>329</v>
      </c>
      <c r="W5856" s="1">
        <v>4321.1899999999996</v>
      </c>
    </row>
    <row r="5857" spans="21:23">
      <c r="U5857" s="786">
        <f t="shared" si="92"/>
        <v>45658</v>
      </c>
      <c r="V5857" s="787" t="s">
        <v>330</v>
      </c>
      <c r="W5857" s="1">
        <v>4343.4799999999996</v>
      </c>
    </row>
    <row r="5858" spans="21:23">
      <c r="U5858" s="786">
        <f t="shared" si="92"/>
        <v>45658</v>
      </c>
      <c r="V5858" s="787" t="s">
        <v>331</v>
      </c>
      <c r="W5858" s="1">
        <v>4343.4799999999996</v>
      </c>
    </row>
    <row r="5859" spans="21:23">
      <c r="U5859" s="786">
        <f t="shared" si="92"/>
        <v>45658</v>
      </c>
      <c r="V5859" s="787" t="s">
        <v>332</v>
      </c>
      <c r="W5859" s="1">
        <v>4343.4799999999996</v>
      </c>
    </row>
    <row r="5860" spans="21:23">
      <c r="U5860" s="786">
        <f t="shared" si="92"/>
        <v>45658</v>
      </c>
      <c r="V5860" s="787" t="s">
        <v>333</v>
      </c>
      <c r="W5860" s="1">
        <v>4331.2299999999996</v>
      </c>
    </row>
    <row r="5861" spans="21:23">
      <c r="U5861" s="786">
        <f t="shared" si="92"/>
        <v>45658</v>
      </c>
      <c r="V5861" s="787" t="s">
        <v>334</v>
      </c>
      <c r="W5861" s="1">
        <v>4300.24</v>
      </c>
    </row>
    <row r="5862" spans="21:23">
      <c r="U5862" s="786">
        <f t="shared" si="92"/>
        <v>45658</v>
      </c>
      <c r="V5862" s="787" t="s">
        <v>335</v>
      </c>
      <c r="W5862" s="1">
        <v>4294.1099999999997</v>
      </c>
    </row>
    <row r="5863" spans="21:23">
      <c r="U5863" s="786">
        <f t="shared" si="92"/>
        <v>45658</v>
      </c>
      <c r="V5863" s="787" t="s">
        <v>336</v>
      </c>
      <c r="W5863" s="1">
        <v>4338.1499999999996</v>
      </c>
    </row>
    <row r="5864" spans="21:23">
      <c r="U5864" s="786">
        <f t="shared" si="92"/>
        <v>45658</v>
      </c>
      <c r="V5864" s="787" t="s">
        <v>337</v>
      </c>
      <c r="W5864" s="1">
        <v>4344.2700000000004</v>
      </c>
    </row>
    <row r="5865" spans="21:23">
      <c r="U5865" s="786">
        <f t="shared" si="92"/>
        <v>45658</v>
      </c>
      <c r="V5865" s="787" t="s">
        <v>338</v>
      </c>
      <c r="W5865" s="1">
        <v>4344.2700000000004</v>
      </c>
    </row>
    <row r="5866" spans="21:23">
      <c r="U5866" s="786">
        <f t="shared" si="92"/>
        <v>45658</v>
      </c>
      <c r="V5866" s="787" t="s">
        <v>339</v>
      </c>
      <c r="W5866" s="1">
        <v>4344.2700000000004</v>
      </c>
    </row>
    <row r="5867" spans="21:23">
      <c r="U5867" s="786">
        <f t="shared" si="92"/>
        <v>45658</v>
      </c>
      <c r="V5867" s="787" t="s">
        <v>340</v>
      </c>
      <c r="W5867" s="1">
        <v>4344.2700000000004</v>
      </c>
    </row>
    <row r="5868" spans="21:23">
      <c r="U5868" s="786">
        <f t="shared" si="92"/>
        <v>45658</v>
      </c>
      <c r="V5868" s="787" t="s">
        <v>341</v>
      </c>
      <c r="W5868" s="1">
        <v>4307.07</v>
      </c>
    </row>
    <row r="5869" spans="21:23">
      <c r="U5869" s="786">
        <f t="shared" si="92"/>
        <v>45658</v>
      </c>
      <c r="V5869" s="787" t="s">
        <v>342</v>
      </c>
      <c r="W5869" s="1">
        <v>4278.01</v>
      </c>
    </row>
    <row r="5870" spans="21:23">
      <c r="U5870" s="786">
        <f t="shared" si="92"/>
        <v>45658</v>
      </c>
      <c r="V5870" s="787" t="s">
        <v>343</v>
      </c>
      <c r="W5870" s="1">
        <v>4245.6499999999996</v>
      </c>
    </row>
    <row r="5871" spans="21:23">
      <c r="U5871" s="786">
        <f t="shared" si="92"/>
        <v>45658</v>
      </c>
      <c r="V5871" s="787" t="s">
        <v>344</v>
      </c>
      <c r="W5871" s="1">
        <v>4188.46</v>
      </c>
    </row>
    <row r="5872" spans="21:23">
      <c r="U5872" s="786">
        <f t="shared" si="92"/>
        <v>45658</v>
      </c>
      <c r="V5872" s="787" t="s">
        <v>345</v>
      </c>
      <c r="W5872" s="1">
        <v>4188.46</v>
      </c>
    </row>
    <row r="5873" spans="21:23">
      <c r="U5873" s="786">
        <f t="shared" si="92"/>
        <v>45658</v>
      </c>
      <c r="V5873" s="787" t="s">
        <v>346</v>
      </c>
      <c r="W5873" s="1">
        <v>4188.46</v>
      </c>
    </row>
  </sheetData>
  <sheetProtection algorithmName="SHA-512" hashValue="YSsAKvuGueHj1gsSC1AlfGno0FWLaQbJ4FbRVqzPaVcRQPlUm03JLVkwDh58A0dpMxb9/BLzFQNv6yEtDWD1Yw==" saltValue="rAUxmihyxP7rQvz3IBwN/w==" spinCount="100000" sheet="1" objects="1" scenarios="1"/>
  <mergeCells count="1">
    <mergeCell ref="B26:D27"/>
  </mergeCells>
  <dataValidations count="3">
    <dataValidation allowBlank="1" showInputMessage="1" showErrorMessage="1" prompt="https://www.banrep.gov.co/es/estadisticas/indice-precios-consumidor-ipc" sqref="B4" xr:uid="{0F8FF3B9-C17B-6F43-956D-361724287F5D}"/>
    <dataValidation operator="greaterThan" allowBlank="1" showErrorMessage="1" sqref="C14:D14" xr:uid="{00000000-0002-0000-0200-000005000000}">
      <formula1>-1</formula1>
      <formula2>0</formula2>
    </dataValidation>
    <dataValidation operator="equal" allowBlank="1" showErrorMessage="1" sqref="C20:C22 C29:C32" xr:uid="{00000000-0002-0000-0200-000003000000}">
      <formula1>0</formula1>
      <formula2>0</formula2>
    </dataValidation>
  </dataValidations>
  <hyperlinks>
    <hyperlink ref="F4" r:id="rId1" xr:uid="{870DF69E-59ED-2F49-A1C9-D73D8F0CEBB4}"/>
    <hyperlink ref="F2" r:id="rId2" xr:uid="{24B7C4CC-01B2-BC4A-BEF1-B3720435B4D1}"/>
    <hyperlink ref="F7" r:id="rId3" xr:uid="{FD73A1A1-F679-5544-93F7-DD919DABCEDF}"/>
    <hyperlink ref="F6" r:id="rId4" xr:uid="{F0B27DF7-8756-9647-8C2B-E01E6380B807}"/>
    <hyperlink ref="F3" r:id="rId5" xr:uid="{BAF59C61-2195-6A47-BDD4-0EF9F3107252}"/>
    <hyperlink ref="F8" r:id="rId6" xr:uid="{86948FF1-9919-534C-9C4E-721035E1DF68}"/>
    <hyperlink ref="F5" r:id="rId7" xr:uid="{76E2B5CC-916B-498F-A9D4-0A5676EE9753}"/>
  </hyperlinks>
  <pageMargins left="0.7" right="0.7" top="0.75" bottom="0.75" header="0.3" footer="0.3"/>
  <drawing r:id="rId8"/>
  <tableParts count="3">
    <tablePart r:id="rId9"/>
    <tablePart r:id="rId10"/>
    <tablePart r:id="rId1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8"/>
  <dimension ref="A1:BA25"/>
  <sheetViews>
    <sheetView showGridLines="0" showRowColHeaders="0" zoomScaleNormal="100" workbookViewId="0">
      <selection activeCell="K12" sqref="K12"/>
    </sheetView>
  </sheetViews>
  <sheetFormatPr baseColWidth="10" defaultColWidth="9.140625" defaultRowHeight="15"/>
  <cols>
    <col min="1" max="1" width="15" customWidth="1"/>
    <col min="2" max="2" width="11.42578125" bestFit="1" customWidth="1"/>
    <col min="3" max="3" width="15.42578125" customWidth="1"/>
    <col min="4" max="4" width="10.42578125" customWidth="1"/>
    <col min="5" max="5" width="11.42578125"/>
    <col min="6" max="6" width="15" customWidth="1"/>
    <col min="7" max="7" width="11.140625" customWidth="1"/>
    <col min="8" max="8" width="10.42578125" customWidth="1"/>
    <col min="9" max="9" width="20.42578125" customWidth="1"/>
    <col min="10" max="10" width="78.7109375" customWidth="1"/>
    <col min="11" max="11" width="16.42578125" customWidth="1"/>
    <col min="12" max="12" width="10.42578125" customWidth="1"/>
    <col min="13" max="13" width="17" customWidth="1"/>
    <col min="14" max="14" width="17.140625" customWidth="1"/>
    <col min="15" max="15" width="17.28515625" customWidth="1"/>
    <col min="16" max="16" width="15.42578125" customWidth="1"/>
    <col min="17" max="18" width="16.28515625" customWidth="1"/>
    <col min="19" max="19" width="10.42578125" customWidth="1"/>
    <col min="20" max="20" width="13.28515625" customWidth="1"/>
    <col min="21" max="21" width="13" customWidth="1"/>
    <col min="22" max="22" width="10.42578125" customWidth="1"/>
    <col min="23" max="23" width="10" customWidth="1"/>
    <col min="24" max="24" width="14.140625" customWidth="1"/>
    <col min="25" max="26" width="10.42578125" customWidth="1"/>
    <col min="27" max="27" width="123" customWidth="1"/>
    <col min="28" max="33" width="10.42578125" customWidth="1"/>
    <col min="34" max="34" width="11.28515625" bestFit="1" customWidth="1"/>
    <col min="35" max="37" width="10.42578125" customWidth="1"/>
    <col min="38" max="38" width="18.140625" bestFit="1" customWidth="1"/>
    <col min="39" max="40" width="10.42578125" customWidth="1"/>
    <col min="41" max="41" width="14.140625" bestFit="1" customWidth="1"/>
    <col min="42" max="43" width="11.140625" bestFit="1" customWidth="1"/>
    <col min="44" max="47" width="10.42578125" customWidth="1"/>
    <col min="48" max="48" width="14.140625" bestFit="1" customWidth="1"/>
    <col min="49" max="50" width="11.140625" bestFit="1" customWidth="1"/>
    <col min="51" max="1011" width="10.42578125" customWidth="1"/>
  </cols>
  <sheetData>
    <row r="1" spans="1:53">
      <c r="AP1" s="676" t="s">
        <v>347</v>
      </c>
      <c r="AQ1" s="676"/>
      <c r="AR1" s="676"/>
      <c r="AS1" s="676"/>
      <c r="AT1" s="676"/>
    </row>
    <row r="2" spans="1:53" s="41" customFormat="1" ht="39" customHeight="1">
      <c r="A2" s="37" t="s">
        <v>22</v>
      </c>
      <c r="B2" s="37" t="s">
        <v>31</v>
      </c>
      <c r="C2" s="37" t="s">
        <v>348</v>
      </c>
      <c r="D2" s="37" t="s">
        <v>349</v>
      </c>
      <c r="E2" s="38" t="s">
        <v>350</v>
      </c>
      <c r="F2" s="38" t="s">
        <v>351</v>
      </c>
      <c r="G2" s="38" t="s">
        <v>352</v>
      </c>
      <c r="H2" s="39"/>
      <c r="I2" s="40" t="s">
        <v>84</v>
      </c>
      <c r="J2" s="40" t="s">
        <v>353</v>
      </c>
      <c r="K2" s="40" t="s">
        <v>354</v>
      </c>
      <c r="L2" s="39"/>
      <c r="M2" s="40" t="s">
        <v>355</v>
      </c>
      <c r="N2" s="40" t="s">
        <v>356</v>
      </c>
      <c r="O2" s="40" t="s">
        <v>357</v>
      </c>
      <c r="P2" s="40" t="s">
        <v>358</v>
      </c>
      <c r="Q2" s="40" t="s">
        <v>359</v>
      </c>
      <c r="R2" s="40" t="s">
        <v>360</v>
      </c>
      <c r="S2" s="39"/>
      <c r="T2" s="807" t="s">
        <v>22</v>
      </c>
      <c r="U2" s="807" t="s">
        <v>25</v>
      </c>
      <c r="W2" s="807" t="s">
        <v>361</v>
      </c>
      <c r="X2" s="807"/>
      <c r="AA2" s="808" t="s">
        <v>362</v>
      </c>
      <c r="AB2" s="808"/>
      <c r="AE2" s="806" t="s">
        <v>363</v>
      </c>
      <c r="AF2" s="806"/>
      <c r="AG2" s="806"/>
      <c r="AH2" s="806"/>
      <c r="AL2" s="804" t="s">
        <v>364</v>
      </c>
      <c r="AM2" s="804"/>
      <c r="AN2"/>
      <c r="AO2"/>
      <c r="AP2" s="677" t="s">
        <v>365</v>
      </c>
      <c r="AQ2" s="677"/>
      <c r="AR2" s="677" t="s">
        <v>48</v>
      </c>
      <c r="AS2" s="677" t="s">
        <v>366</v>
      </c>
      <c r="AT2" s="677" t="s">
        <v>367</v>
      </c>
      <c r="AU2"/>
      <c r="AV2"/>
      <c r="AW2" s="804" t="s">
        <v>368</v>
      </c>
      <c r="AX2" s="804"/>
      <c r="AY2" s="804"/>
      <c r="AZ2" s="804"/>
      <c r="BA2" s="804"/>
    </row>
    <row r="3" spans="1:53" ht="38.25">
      <c r="A3" s="42" t="s">
        <v>23</v>
      </c>
      <c r="B3" s="43">
        <v>1000</v>
      </c>
      <c r="C3" s="43">
        <v>21</v>
      </c>
      <c r="D3" s="43">
        <v>18.833333333300001</v>
      </c>
      <c r="E3" s="42" t="s">
        <v>369</v>
      </c>
      <c r="F3" s="42" t="s">
        <v>370</v>
      </c>
      <c r="G3" s="42" t="s">
        <v>370</v>
      </c>
      <c r="I3" s="44" t="s">
        <v>371</v>
      </c>
      <c r="J3" s="45" t="s">
        <v>372</v>
      </c>
      <c r="K3" s="46">
        <f>+Indices!D15</f>
        <v>4385.1487096774199</v>
      </c>
      <c r="M3" s="47" t="s">
        <v>373</v>
      </c>
      <c r="N3" s="48">
        <f>'COSTA CARIBE'!$I$50</f>
        <v>1.0837499999999998</v>
      </c>
      <c r="O3" s="767">
        <f>240*ipc/Indices!$K$35</f>
        <v>302.06932499348449</v>
      </c>
      <c r="P3" s="49">
        <v>250</v>
      </c>
      <c r="Q3" s="50">
        <f>O3*P3/trm_calculo</f>
        <v>17.22115628181885</v>
      </c>
      <c r="R3" s="51">
        <f>Q3/1000</f>
        <v>1.7221156281818851E-2</v>
      </c>
      <c r="T3" s="52" t="s">
        <v>23</v>
      </c>
      <c r="U3" s="53" t="s">
        <v>374</v>
      </c>
      <c r="W3" s="52">
        <v>1</v>
      </c>
      <c r="X3" s="53">
        <v>0.1</v>
      </c>
      <c r="AA3" s="53" t="s">
        <v>375</v>
      </c>
      <c r="AB3" s="54">
        <f>AH10</f>
        <v>30.972222222222221</v>
      </c>
      <c r="AC3" t="s">
        <v>376</v>
      </c>
      <c r="AE3" s="617" t="s">
        <v>377</v>
      </c>
      <c r="AF3" s="574" t="s">
        <v>378</v>
      </c>
      <c r="AG3" s="638" t="s">
        <v>379</v>
      </c>
      <c r="AH3" s="574" t="s">
        <v>380</v>
      </c>
      <c r="AL3" s="677" t="s">
        <v>381</v>
      </c>
      <c r="AM3" s="677" t="s">
        <v>382</v>
      </c>
      <c r="AO3" s="678" t="s">
        <v>383</v>
      </c>
      <c r="AP3" s="679" t="s">
        <v>384</v>
      </c>
      <c r="AQ3" s="679" t="s">
        <v>385</v>
      </c>
      <c r="AR3" s="680">
        <v>0.1429</v>
      </c>
      <c r="AS3" s="680">
        <v>0.28570000000000001</v>
      </c>
      <c r="AT3" s="680">
        <v>0.57140000000000002</v>
      </c>
      <c r="AV3" s="678" t="s">
        <v>383</v>
      </c>
      <c r="AW3" s="679" t="s">
        <v>384</v>
      </c>
      <c r="AX3" s="679" t="s">
        <v>385</v>
      </c>
      <c r="AY3" s="677" t="s">
        <v>386</v>
      </c>
      <c r="AZ3" s="677" t="s">
        <v>387</v>
      </c>
      <c r="BA3" s="677" t="s">
        <v>388</v>
      </c>
    </row>
    <row r="4" spans="1:53">
      <c r="A4" s="42" t="s">
        <v>23</v>
      </c>
      <c r="B4" s="43">
        <v>5000</v>
      </c>
      <c r="C4" s="43">
        <v>36</v>
      </c>
      <c r="D4" s="43">
        <v>32</v>
      </c>
      <c r="E4" s="42" t="s">
        <v>369</v>
      </c>
      <c r="F4" s="42" t="s">
        <v>370</v>
      </c>
      <c r="G4" s="42" t="s">
        <v>370</v>
      </c>
      <c r="I4" s="44" t="s">
        <v>389</v>
      </c>
      <c r="J4" s="59" t="s">
        <v>390</v>
      </c>
      <c r="K4" s="779">
        <v>0.19</v>
      </c>
      <c r="M4" s="47" t="s">
        <v>40</v>
      </c>
      <c r="N4" s="48">
        <f>'MAGDALENA MEDIO'!$I$50</f>
        <v>1.1337499999999998</v>
      </c>
      <c r="O4" s="767">
        <f>180*ipc/Indices!$K$35</f>
        <v>226.55199374511335</v>
      </c>
      <c r="P4" s="49">
        <v>650</v>
      </c>
      <c r="Q4" s="50">
        <f>O4*P4/trm_calculo</f>
        <v>33.581254749546758</v>
      </c>
      <c r="R4" s="51">
        <f>Q4/1000</f>
        <v>3.3581254749546756E-2</v>
      </c>
      <c r="T4" s="52" t="s">
        <v>23</v>
      </c>
      <c r="U4" s="53" t="s">
        <v>391</v>
      </c>
      <c r="W4" s="52">
        <v>2</v>
      </c>
      <c r="X4" s="53">
        <v>0.25</v>
      </c>
      <c r="AA4" s="53" t="s">
        <v>392</v>
      </c>
      <c r="AB4" s="54">
        <f>AG19</f>
        <v>690.17</v>
      </c>
      <c r="AC4" t="s">
        <v>393</v>
      </c>
      <c r="AE4" s="633" t="s">
        <v>394</v>
      </c>
      <c r="AF4" s="635">
        <v>8</v>
      </c>
      <c r="AG4" s="634">
        <v>23.5</v>
      </c>
      <c r="AH4" s="635">
        <f>+AF4*AG4</f>
        <v>188</v>
      </c>
      <c r="AL4" s="681" t="s">
        <v>395</v>
      </c>
      <c r="AM4" s="682">
        <v>8.5000000000000006E-2</v>
      </c>
      <c r="AO4" s="720">
        <f ca="1">IF(AND((TotalMateriales+TotalConstruccionMontaje)&gt;=AP4,TotalMateriales+TotalConstruccionMontaje&lt;AQ4),1,0)</f>
        <v>1</v>
      </c>
      <c r="AP4" s="684">
        <v>0</v>
      </c>
      <c r="AQ4" s="684">
        <v>5000000</v>
      </c>
      <c r="AR4" s="685">
        <v>1.2146500000000001E-2</v>
      </c>
      <c r="AS4" s="685">
        <v>2.4284500000000004E-2</v>
      </c>
      <c r="AT4" s="685">
        <v>4.8569000000000008E-2</v>
      </c>
      <c r="AV4" s="683">
        <f ca="1">+IF(AND((TotalComisionamiento+TotalConstruccionMontaje)&gt;=AW4,TotalComisionamiento+TotalConstruccionMontaje&lt;AX4),1,0)</f>
        <v>1</v>
      </c>
      <c r="AW4" s="684">
        <v>0</v>
      </c>
      <c r="AX4" s="684">
        <v>5000000</v>
      </c>
      <c r="AY4" s="682">
        <v>8.5000000000000006E-2</v>
      </c>
      <c r="AZ4" s="682">
        <v>0.23799999999999999</v>
      </c>
      <c r="BA4" s="685">
        <v>0.32300000000000001</v>
      </c>
    </row>
    <row r="5" spans="1:53">
      <c r="A5" s="42" t="s">
        <v>23</v>
      </c>
      <c r="B5" s="43">
        <v>7000</v>
      </c>
      <c r="C5" s="43">
        <v>36</v>
      </c>
      <c r="D5" s="43">
        <v>37.75</v>
      </c>
      <c r="E5" s="42" t="s">
        <v>369</v>
      </c>
      <c r="F5" s="42" t="s">
        <v>370</v>
      </c>
      <c r="G5" s="42" t="s">
        <v>370</v>
      </c>
      <c r="I5" s="62" t="s">
        <v>396</v>
      </c>
      <c r="J5" s="59" t="s">
        <v>397</v>
      </c>
      <c r="K5" s="63">
        <f>Indices!C21/Indices!D21*trm_base/trm_calculo</f>
        <v>1</v>
      </c>
      <c r="M5" s="47" t="s">
        <v>398</v>
      </c>
      <c r="N5" s="48">
        <f>'CENTRO OCCIDENTE'!$I$50</f>
        <v>1.0687499999999999</v>
      </c>
      <c r="O5" s="767">
        <f>160*ipc/Indices!$K$35</f>
        <v>201.37954999565633</v>
      </c>
      <c r="P5" s="49">
        <v>1000</v>
      </c>
      <c r="Q5" s="50">
        <f>O5*P5/trm_calculo</f>
        <v>45.923083418183602</v>
      </c>
      <c r="R5" s="51">
        <f>Q5/1000</f>
        <v>4.5923083418183602E-2</v>
      </c>
      <c r="T5" s="52" t="s">
        <v>399</v>
      </c>
      <c r="U5" s="53" t="s">
        <v>26</v>
      </c>
      <c r="W5" s="52">
        <v>3</v>
      </c>
      <c r="X5" s="53">
        <v>0.5</v>
      </c>
      <c r="AA5" s="53" t="s">
        <v>400</v>
      </c>
      <c r="AB5" s="54">
        <f>AI19</f>
        <v>3.2716545894484099</v>
      </c>
      <c r="AC5" t="s">
        <v>401</v>
      </c>
      <c r="AE5" s="633" t="s">
        <v>402</v>
      </c>
      <c r="AF5" s="635">
        <v>1</v>
      </c>
      <c r="AG5" s="634">
        <v>35</v>
      </c>
      <c r="AH5" s="635">
        <f>+AF5*AG5</f>
        <v>35</v>
      </c>
      <c r="AL5" s="681" t="s">
        <v>403</v>
      </c>
      <c r="AM5" s="682">
        <v>7.8E-2</v>
      </c>
      <c r="AO5" s="720">
        <f ca="1">IF(AND((TotalMateriales+TotalConstruccionMontaje)&gt;=AP5,TotalMateriales+TotalConstruccionMontaje&lt;AQ5),1,0)</f>
        <v>0</v>
      </c>
      <c r="AP5" s="684">
        <v>5000000</v>
      </c>
      <c r="AQ5" s="684">
        <v>10000000</v>
      </c>
      <c r="AR5" s="685">
        <v>1.11462E-2</v>
      </c>
      <c r="AS5" s="685">
        <v>2.2284600000000002E-2</v>
      </c>
      <c r="AT5" s="685">
        <v>4.4569200000000003E-2</v>
      </c>
      <c r="AV5" s="683">
        <f ca="1">+IF(AND((TotalComisionamiento+TotalConstruccionMontaje)&gt;=AW5,TotalComisionamiento+TotalConstruccionMontaje&lt;AX5),1,0)</f>
        <v>0</v>
      </c>
      <c r="AW5" s="684">
        <v>5000000</v>
      </c>
      <c r="AX5" s="684">
        <v>10000000</v>
      </c>
      <c r="AY5" s="682">
        <v>7.0000000000000007E-2</v>
      </c>
      <c r="AZ5" s="682">
        <v>0.2</v>
      </c>
      <c r="BA5" s="685">
        <v>0.27</v>
      </c>
    </row>
    <row r="6" spans="1:53">
      <c r="A6" s="42" t="s">
        <v>23</v>
      </c>
      <c r="B6" s="43">
        <v>10000</v>
      </c>
      <c r="C6" s="43">
        <v>36</v>
      </c>
      <c r="D6" s="43">
        <v>45.25</v>
      </c>
      <c r="E6" s="42" t="s">
        <v>369</v>
      </c>
      <c r="F6" s="42" t="s">
        <v>370</v>
      </c>
      <c r="G6" s="42" t="s">
        <v>370</v>
      </c>
      <c r="I6" s="44" t="s">
        <v>404</v>
      </c>
      <c r="J6" s="45" t="s">
        <v>405</v>
      </c>
      <c r="K6" s="64">
        <f>Indices!D20</f>
        <v>144.88</v>
      </c>
      <c r="M6" s="47" t="s">
        <v>406</v>
      </c>
      <c r="N6" s="65">
        <f>SUR!$I$49</f>
        <v>1.1174999999999997</v>
      </c>
      <c r="O6" s="767">
        <f>160*ipc/Indices!$K$35</f>
        <v>201.37954999565633</v>
      </c>
      <c r="P6" s="49">
        <v>1200</v>
      </c>
      <c r="Q6" s="50">
        <f>O6*P6/trm_calculo</f>
        <v>55.107700101820321</v>
      </c>
      <c r="R6" s="51">
        <f>Q6/1000</f>
        <v>5.5107700101820319E-2</v>
      </c>
      <c r="T6" s="52" t="s">
        <v>407</v>
      </c>
      <c r="U6" s="53" t="s">
        <v>408</v>
      </c>
      <c r="W6" s="52">
        <v>4</v>
      </c>
      <c r="X6" s="53">
        <v>0.75</v>
      </c>
      <c r="AA6" s="53" t="s">
        <v>409</v>
      </c>
      <c r="AB6" s="54">
        <f>5/180</f>
        <v>2.7777777777777776E-2</v>
      </c>
      <c r="AC6" t="s">
        <v>410</v>
      </c>
      <c r="AE6" s="633" t="s">
        <v>411</v>
      </c>
      <c r="AF6" s="635">
        <v>4</v>
      </c>
      <c r="AG6" s="634">
        <v>52</v>
      </c>
      <c r="AH6" s="635">
        <f>+AF6*AG6</f>
        <v>208</v>
      </c>
      <c r="AL6" s="681" t="s">
        <v>412</v>
      </c>
      <c r="AM6" s="682">
        <v>7.0000000000000007E-2</v>
      </c>
      <c r="AO6" s="720">
        <f ca="1">IF(AND((TotalMateriales+TotalConstruccionMontaje)&gt;=AP6,TotalMateriales+TotalConstruccionMontaje&lt;AQ6),1,0)</f>
        <v>0</v>
      </c>
      <c r="AP6" s="684">
        <v>10000000</v>
      </c>
      <c r="AQ6" s="684">
        <v>15000000</v>
      </c>
      <c r="AR6" s="685">
        <v>1.0003000000000001E-2</v>
      </c>
      <c r="AS6" s="685">
        <v>1.9999000000000003E-2</v>
      </c>
      <c r="AT6" s="685">
        <v>3.9998000000000006E-2</v>
      </c>
      <c r="AV6" s="683">
        <f ca="1">+IF(AND((TotalComisionamiento+TotalConstruccionMontaje)&gt;=AW6,TotalComisionamiento+TotalConstruccionMontaje&lt;AX6),1,0)</f>
        <v>0</v>
      </c>
      <c r="AW6" s="684">
        <v>10000000</v>
      </c>
      <c r="AX6" s="684">
        <v>15000000</v>
      </c>
      <c r="AY6" s="682">
        <v>6.4000000000000001E-2</v>
      </c>
      <c r="AZ6" s="682">
        <v>0.185</v>
      </c>
      <c r="BA6" s="685">
        <v>0.249</v>
      </c>
    </row>
    <row r="7" spans="1:53">
      <c r="A7" s="42" t="s">
        <v>23</v>
      </c>
      <c r="B7" s="43">
        <v>15000</v>
      </c>
      <c r="C7" s="43">
        <v>36</v>
      </c>
      <c r="D7" s="43">
        <v>55.5</v>
      </c>
      <c r="E7" s="42" t="s">
        <v>369</v>
      </c>
      <c r="F7" s="42" t="s">
        <v>370</v>
      </c>
      <c r="G7" s="42" t="s">
        <v>370</v>
      </c>
      <c r="I7" s="44" t="s">
        <v>413</v>
      </c>
      <c r="J7" s="45" t="s">
        <v>414</v>
      </c>
      <c r="K7" s="63">
        <f>Indices!C20</f>
        <v>144.88</v>
      </c>
      <c r="M7" s="47" t="s">
        <v>415</v>
      </c>
      <c r="N7" s="65">
        <f>'LLANOS - NARIÑO'!$I$49</f>
        <v>1.1724999999999999</v>
      </c>
      <c r="O7" s="767">
        <f>155*ipc/Indices!$K$35</f>
        <v>195.08643905829206</v>
      </c>
      <c r="P7" s="49">
        <v>1100</v>
      </c>
      <c r="Q7" s="50">
        <f>O7*P7/trm_calculo</f>
        <v>48.936785767501895</v>
      </c>
      <c r="R7" s="51">
        <f>Q7/1000</f>
        <v>4.8936785767501892E-2</v>
      </c>
      <c r="W7" s="66">
        <v>5</v>
      </c>
      <c r="X7" s="53">
        <v>1</v>
      </c>
      <c r="AA7" s="53" t="s">
        <v>416</v>
      </c>
      <c r="AB7" s="54">
        <f>750*4/180</f>
        <v>16.666666666666668</v>
      </c>
      <c r="AC7" t="s">
        <v>417</v>
      </c>
      <c r="AE7" s="633" t="s">
        <v>418</v>
      </c>
      <c r="AF7" s="635">
        <v>4</v>
      </c>
      <c r="AG7" s="634">
        <v>146</v>
      </c>
      <c r="AH7" s="635">
        <f>+AF7*AG7</f>
        <v>584</v>
      </c>
      <c r="AL7" s="681" t="s">
        <v>419</v>
      </c>
      <c r="AM7" s="682">
        <v>5.1999999999999998E-2</v>
      </c>
      <c r="AN7" s="686"/>
      <c r="AO7" s="720">
        <f ca="1">IF((TotalMateriales+TotalConstruccionMontaje)&gt;=AP7,1,0)</f>
        <v>0</v>
      </c>
      <c r="AP7" s="684">
        <v>15000000</v>
      </c>
      <c r="AQ7" s="684">
        <v>20000000</v>
      </c>
      <c r="AR7" s="685">
        <v>7.4307999999999996E-3</v>
      </c>
      <c r="AS7" s="685">
        <v>1.4856400000000001E-2</v>
      </c>
      <c r="AT7" s="685">
        <v>2.9712800000000001E-2</v>
      </c>
      <c r="AV7" s="683">
        <f ca="1">+IF(AND((TotalComisionamiento+TotalConstruccionMontaje)&gt;=AW7,TotalComisionamiento+TotalConstruccionMontaje&lt;AX7),1,0)</f>
        <v>0</v>
      </c>
      <c r="AW7" s="684">
        <v>15000000</v>
      </c>
      <c r="AX7" s="684">
        <v>20000000</v>
      </c>
      <c r="AY7" s="682">
        <v>5.8000000000000003E-2</v>
      </c>
      <c r="AZ7" s="682">
        <v>0.157</v>
      </c>
      <c r="BA7" s="685">
        <v>0.215</v>
      </c>
    </row>
    <row r="8" spans="1:53">
      <c r="A8" s="42" t="s">
        <v>23</v>
      </c>
      <c r="B8" s="43">
        <v>18000</v>
      </c>
      <c r="C8" s="43">
        <v>36</v>
      </c>
      <c r="D8" s="43">
        <v>60.75</v>
      </c>
      <c r="E8" s="42" t="s">
        <v>369</v>
      </c>
      <c r="F8" s="42" t="s">
        <v>370</v>
      </c>
      <c r="G8" s="42" t="s">
        <v>370</v>
      </c>
      <c r="I8" s="44" t="s">
        <v>420</v>
      </c>
      <c r="J8" s="45" t="s">
        <v>421</v>
      </c>
      <c r="K8" s="63">
        <f>VLOOKUP(Inicio!C20,Factores!$M$3:$R$7,2,0)</f>
        <v>1.0837499999999998</v>
      </c>
      <c r="AA8" s="53" t="s">
        <v>422</v>
      </c>
      <c r="AB8" s="54">
        <f>2900/64</f>
        <v>45.3125</v>
      </c>
      <c r="AC8" t="s">
        <v>423</v>
      </c>
      <c r="AE8" s="633" t="s">
        <v>424</v>
      </c>
      <c r="AF8" s="635">
        <v>3</v>
      </c>
      <c r="AG8" s="634">
        <v>1520</v>
      </c>
      <c r="AH8" s="635">
        <f>+AF8*AG8</f>
        <v>4560</v>
      </c>
    </row>
    <row r="9" spans="1:53">
      <c r="A9" s="42" t="s">
        <v>23</v>
      </c>
      <c r="B9" s="43">
        <v>20000</v>
      </c>
      <c r="C9" s="43">
        <v>36</v>
      </c>
      <c r="D9" s="43">
        <v>64</v>
      </c>
      <c r="E9" s="42" t="s">
        <v>369</v>
      </c>
      <c r="F9" s="42" t="s">
        <v>370</v>
      </c>
      <c r="G9" s="42" t="s">
        <v>370</v>
      </c>
      <c r="I9" s="44" t="s">
        <v>425</v>
      </c>
      <c r="J9" s="45" t="s">
        <v>426</v>
      </c>
      <c r="K9" s="780">
        <v>0.05</v>
      </c>
      <c r="AA9" s="53" t="s">
        <v>427</v>
      </c>
      <c r="AB9" s="54">
        <f>200/64</f>
        <v>3.125</v>
      </c>
      <c r="AC9" t="s">
        <v>428</v>
      </c>
      <c r="AE9" s="67"/>
      <c r="AF9" s="805" t="s">
        <v>429</v>
      </c>
      <c r="AG9" s="805"/>
      <c r="AH9" s="68">
        <f>SUM(AH4:AH8)</f>
        <v>5575</v>
      </c>
    </row>
    <row r="10" spans="1:53">
      <c r="A10" s="42" t="s">
        <v>23</v>
      </c>
      <c r="B10" s="43">
        <v>25000</v>
      </c>
      <c r="C10" s="43">
        <v>36</v>
      </c>
      <c r="D10" s="43">
        <v>71.666666666699996</v>
      </c>
      <c r="E10" s="42" t="s">
        <v>369</v>
      </c>
      <c r="F10" s="42" t="s">
        <v>370</v>
      </c>
      <c r="G10" s="42" t="s">
        <v>370</v>
      </c>
      <c r="I10" s="69" t="s">
        <v>430</v>
      </c>
      <c r="J10" s="45" t="s">
        <v>431</v>
      </c>
      <c r="K10" s="63">
        <f>Diametro*Diametro*0.3048*0.3048*PI()/4</f>
        <v>25.880591202292184</v>
      </c>
      <c r="AA10" s="53" t="s">
        <v>432</v>
      </c>
      <c r="AB10" s="54">
        <f>450/64</f>
        <v>7.03125</v>
      </c>
      <c r="AC10" t="s">
        <v>433</v>
      </c>
      <c r="AG10" s="70" t="s">
        <v>376</v>
      </c>
      <c r="AH10" s="71">
        <f>AH9/180</f>
        <v>30.972222222222221</v>
      </c>
    </row>
    <row r="11" spans="1:53">
      <c r="A11" s="42" t="s">
        <v>23</v>
      </c>
      <c r="B11" s="43">
        <v>30000</v>
      </c>
      <c r="C11" s="43">
        <v>36</v>
      </c>
      <c r="D11" s="43">
        <v>78.5</v>
      </c>
      <c r="E11" s="42" t="s">
        <v>369</v>
      </c>
      <c r="F11" s="42" t="s">
        <v>370</v>
      </c>
      <c r="G11" s="42" t="s">
        <v>370</v>
      </c>
      <c r="I11" s="69" t="s">
        <v>434</v>
      </c>
      <c r="J11" s="45" t="s">
        <v>435</v>
      </c>
      <c r="K11" s="72">
        <f>+Indices!D16</f>
        <v>255.18600000000001</v>
      </c>
      <c r="AA11" s="53" t="s">
        <v>436</v>
      </c>
      <c r="AB11" s="73">
        <f>AH20</f>
        <v>16</v>
      </c>
      <c r="AC11" t="s">
        <v>437</v>
      </c>
    </row>
    <row r="12" spans="1:53">
      <c r="A12" s="42" t="s">
        <v>23</v>
      </c>
      <c r="B12" s="43">
        <v>40000</v>
      </c>
      <c r="C12" s="43">
        <v>36</v>
      </c>
      <c r="D12" s="43">
        <v>90.5</v>
      </c>
      <c r="E12" s="42" t="s">
        <v>369</v>
      </c>
      <c r="F12" s="42" t="s">
        <v>370</v>
      </c>
      <c r="G12" s="42" t="s">
        <v>370</v>
      </c>
      <c r="I12" s="69" t="s">
        <v>438</v>
      </c>
      <c r="J12" s="45" t="s">
        <v>439</v>
      </c>
      <c r="K12" s="780">
        <v>0.03</v>
      </c>
      <c r="AA12" s="53" t="s">
        <v>440</v>
      </c>
      <c r="AB12" s="54">
        <f>5/180</f>
        <v>2.7777777777777776E-2</v>
      </c>
      <c r="AC12" t="s">
        <v>441</v>
      </c>
      <c r="AE12" s="806" t="s">
        <v>442</v>
      </c>
      <c r="AF12" s="806"/>
      <c r="AG12" s="806"/>
      <c r="AH12" s="806"/>
      <c r="AI12" s="806"/>
    </row>
    <row r="13" spans="1:53">
      <c r="A13" s="42" t="s">
        <v>23</v>
      </c>
      <c r="B13" s="43">
        <v>50000</v>
      </c>
      <c r="C13" s="43">
        <v>42</v>
      </c>
      <c r="D13" s="43">
        <v>93.5</v>
      </c>
      <c r="E13" s="42" t="s">
        <v>369</v>
      </c>
      <c r="F13" s="42" t="s">
        <v>370</v>
      </c>
      <c r="G13" s="42" t="s">
        <v>370</v>
      </c>
      <c r="I13" s="69" t="s">
        <v>443</v>
      </c>
      <c r="J13" s="45" t="s">
        <v>444</v>
      </c>
      <c r="K13" s="63">
        <f>iAcero_Calculo/iAcero_base</f>
        <v>1</v>
      </c>
      <c r="AA13" s="53" t="s">
        <v>445</v>
      </c>
      <c r="AB13" s="54">
        <f>4/180</f>
        <v>2.2222222222222223E-2</v>
      </c>
      <c r="AC13" t="s">
        <v>446</v>
      </c>
      <c r="AE13" s="617" t="s">
        <v>377</v>
      </c>
      <c r="AF13" s="639" t="s">
        <v>447</v>
      </c>
      <c r="AG13" s="639" t="s">
        <v>448</v>
      </c>
      <c r="AH13" s="639" t="s">
        <v>449</v>
      </c>
      <c r="AI13" s="638" t="s">
        <v>450</v>
      </c>
    </row>
    <row r="14" spans="1:53">
      <c r="A14" s="42" t="s">
        <v>23</v>
      </c>
      <c r="B14" s="43">
        <v>60000</v>
      </c>
      <c r="C14" s="43">
        <v>42</v>
      </c>
      <c r="D14" s="43">
        <v>105</v>
      </c>
      <c r="E14" s="42" t="s">
        <v>369</v>
      </c>
      <c r="F14" s="42" t="s">
        <v>370</v>
      </c>
      <c r="G14" s="42" t="s">
        <v>370</v>
      </c>
      <c r="I14" s="69" t="s">
        <v>451</v>
      </c>
      <c r="J14" s="45" t="s">
        <v>452</v>
      </c>
      <c r="K14" s="72">
        <f>+Indices!D17</f>
        <v>270.44200000000001</v>
      </c>
      <c r="AA14" s="53" t="s">
        <v>453</v>
      </c>
      <c r="AB14" s="54">
        <f>3/180</f>
        <v>1.6666666666666666E-2</v>
      </c>
      <c r="AC14" t="s">
        <v>454</v>
      </c>
      <c r="AE14" s="633" t="s">
        <v>394</v>
      </c>
      <c r="AF14" s="636">
        <v>5.44</v>
      </c>
      <c r="AG14" s="636">
        <f>+AF14*AH14</f>
        <v>21.76</v>
      </c>
      <c r="AH14" s="637">
        <v>4</v>
      </c>
      <c r="AI14" s="634">
        <f>2*0.0254*PI()</f>
        <v>0.15959290680236149</v>
      </c>
    </row>
    <row r="15" spans="1:53">
      <c r="A15" s="42" t="s">
        <v>23</v>
      </c>
      <c r="B15" s="43">
        <v>70000</v>
      </c>
      <c r="C15" s="43">
        <v>42</v>
      </c>
      <c r="D15" s="43">
        <v>110.6666666667</v>
      </c>
      <c r="E15" s="42" t="s">
        <v>369</v>
      </c>
      <c r="F15" s="42" t="s">
        <v>370</v>
      </c>
      <c r="G15" s="42" t="s">
        <v>370</v>
      </c>
      <c r="I15" s="69" t="s">
        <v>455</v>
      </c>
      <c r="J15" s="45" t="s">
        <v>444</v>
      </c>
      <c r="K15" s="63">
        <f>iAluminio_Calculo/iAluminio_base</f>
        <v>1</v>
      </c>
      <c r="AE15" s="633" t="s">
        <v>402</v>
      </c>
      <c r="AF15" s="636">
        <v>11.29</v>
      </c>
      <c r="AG15" s="636">
        <f>+AF15*AH15</f>
        <v>11.29</v>
      </c>
      <c r="AH15" s="637">
        <v>1</v>
      </c>
      <c r="AI15" s="634">
        <f>3*0.0254*PI()</f>
        <v>0.23938936020354221</v>
      </c>
    </row>
    <row r="16" spans="1:53">
      <c r="A16" s="42" t="s">
        <v>23</v>
      </c>
      <c r="B16" s="43">
        <v>100000</v>
      </c>
      <c r="C16" s="43">
        <v>48</v>
      </c>
      <c r="D16" s="43">
        <v>123.5</v>
      </c>
      <c r="E16" s="42" t="s">
        <v>369</v>
      </c>
      <c r="F16" s="42" t="s">
        <v>370</v>
      </c>
      <c r="G16" s="42" t="s">
        <v>370</v>
      </c>
      <c r="I16" s="69" t="s">
        <v>456</v>
      </c>
      <c r="J16" s="45" t="s">
        <v>457</v>
      </c>
      <c r="K16" s="72">
        <f>+Indices!D18</f>
        <v>185.55799999999999</v>
      </c>
      <c r="AE16" s="633" t="s">
        <v>411</v>
      </c>
      <c r="AF16" s="636">
        <v>16.07</v>
      </c>
      <c r="AG16" s="636">
        <f>+AF16*AH16</f>
        <v>64.28</v>
      </c>
      <c r="AH16" s="637">
        <v>4</v>
      </c>
      <c r="AI16" s="634">
        <f>4*0.0254*PI()</f>
        <v>0.31918581360472298</v>
      </c>
    </row>
    <row r="17" spans="1:36" ht="15.75">
      <c r="A17" s="42" t="s">
        <v>23</v>
      </c>
      <c r="B17" s="43">
        <v>120000</v>
      </c>
      <c r="C17" s="43">
        <v>48</v>
      </c>
      <c r="D17" s="43">
        <v>135.25</v>
      </c>
      <c r="E17" s="42" t="s">
        <v>369</v>
      </c>
      <c r="F17" s="42" t="s">
        <v>370</v>
      </c>
      <c r="G17" s="42" t="s">
        <v>370</v>
      </c>
      <c r="I17" s="69" t="s">
        <v>458</v>
      </c>
      <c r="J17" s="45" t="s">
        <v>444</v>
      </c>
      <c r="K17" s="63">
        <f>iInstControl_Calculo/iInstControl_base</f>
        <v>1</v>
      </c>
      <c r="AC17" s="74"/>
      <c r="AE17" s="633" t="s">
        <v>418</v>
      </c>
      <c r="AF17" s="636">
        <v>42.55</v>
      </c>
      <c r="AG17" s="636">
        <f>+AF17*AH17</f>
        <v>170.2</v>
      </c>
      <c r="AH17" s="637">
        <v>4</v>
      </c>
      <c r="AI17" s="634">
        <f>8*0.0254*PI()</f>
        <v>0.63837162720944596</v>
      </c>
    </row>
    <row r="18" spans="1:36">
      <c r="A18" s="42" t="s">
        <v>23</v>
      </c>
      <c r="B18" s="43">
        <v>150000</v>
      </c>
      <c r="C18" s="43">
        <v>48</v>
      </c>
      <c r="D18" s="43">
        <v>151.25</v>
      </c>
      <c r="E18" s="42" t="s">
        <v>369</v>
      </c>
      <c r="F18" s="42" t="s">
        <v>370</v>
      </c>
      <c r="G18" s="42" t="s">
        <v>370</v>
      </c>
      <c r="I18" s="75" t="s">
        <v>459</v>
      </c>
      <c r="J18" s="45" t="s">
        <v>460</v>
      </c>
      <c r="K18" s="72"/>
      <c r="AE18" s="633" t="s">
        <v>424</v>
      </c>
      <c r="AF18" s="636">
        <v>140.88</v>
      </c>
      <c r="AG18" s="636">
        <f>+AF18*AH18</f>
        <v>422.64</v>
      </c>
      <c r="AH18" s="637">
        <v>3</v>
      </c>
      <c r="AI18" s="634">
        <f>24*0.0254*PI()</f>
        <v>1.9151148816283377</v>
      </c>
    </row>
    <row r="19" spans="1:36">
      <c r="A19" s="42" t="s">
        <v>23</v>
      </c>
      <c r="B19" s="43">
        <v>170000</v>
      </c>
      <c r="C19" s="43">
        <v>48</v>
      </c>
      <c r="D19" s="43">
        <v>161</v>
      </c>
      <c r="E19" s="42" t="s">
        <v>369</v>
      </c>
      <c r="F19" s="42" t="s">
        <v>370</v>
      </c>
      <c r="G19" s="42" t="s">
        <v>370</v>
      </c>
      <c r="I19" s="75" t="s">
        <v>461</v>
      </c>
      <c r="J19" s="45" t="s">
        <v>462</v>
      </c>
      <c r="K19" s="72">
        <f>Indices!D19</f>
        <v>131.25</v>
      </c>
      <c r="AF19" s="70" t="s">
        <v>393</v>
      </c>
      <c r="AG19" s="76">
        <f>SUM(AG14:AG18)</f>
        <v>690.17</v>
      </c>
      <c r="AI19" s="76">
        <f>SUM(AI14:AI18)</f>
        <v>3.2716545894484099</v>
      </c>
      <c r="AJ19" s="70" t="s">
        <v>401</v>
      </c>
    </row>
    <row r="20" spans="1:36">
      <c r="A20" s="77" t="s">
        <v>23</v>
      </c>
      <c r="B20" s="78">
        <v>200000</v>
      </c>
      <c r="C20" s="78">
        <v>48</v>
      </c>
      <c r="D20" s="78">
        <v>175</v>
      </c>
      <c r="E20" s="77" t="s">
        <v>369</v>
      </c>
      <c r="F20" s="77" t="s">
        <v>370</v>
      </c>
      <c r="G20" s="77" t="s">
        <v>370</v>
      </c>
      <c r="I20" s="69" t="s">
        <v>463</v>
      </c>
      <c r="J20" s="45" t="s">
        <v>464</v>
      </c>
      <c r="K20" s="63">
        <f>iObraCivil_Calculo/iObraCivil_base*trm_base/trm_calculo</f>
        <v>1</v>
      </c>
      <c r="AG20" s="77" t="s">
        <v>437</v>
      </c>
      <c r="AH20" s="79">
        <f>SUM(AH14:AH18)</f>
        <v>16</v>
      </c>
    </row>
    <row r="21" spans="1:36">
      <c r="A21" s="42" t="s">
        <v>23</v>
      </c>
      <c r="B21" s="43">
        <v>250000</v>
      </c>
      <c r="C21" s="43">
        <v>48</v>
      </c>
      <c r="D21" s="43">
        <v>195.75</v>
      </c>
      <c r="E21" s="42" t="s">
        <v>369</v>
      </c>
      <c r="F21" s="42" t="s">
        <v>370</v>
      </c>
      <c r="G21" s="42" t="s">
        <v>370</v>
      </c>
      <c r="I21" s="69" t="s">
        <v>465</v>
      </c>
      <c r="J21" s="45" t="s">
        <v>466</v>
      </c>
      <c r="K21" s="63">
        <f>Indices!C22</f>
        <v>0.1</v>
      </c>
    </row>
    <row r="22" spans="1:36">
      <c r="A22" s="42" t="s">
        <v>23</v>
      </c>
      <c r="B22" s="43">
        <v>280000</v>
      </c>
      <c r="C22" s="43">
        <v>52</v>
      </c>
      <c r="D22" s="43">
        <v>200</v>
      </c>
      <c r="E22" s="42" t="s">
        <v>369</v>
      </c>
      <c r="F22" s="42" t="s">
        <v>370</v>
      </c>
      <c r="G22" s="42" t="s">
        <v>370</v>
      </c>
    </row>
    <row r="23" spans="1:36">
      <c r="A23" s="42" t="s">
        <v>23</v>
      </c>
      <c r="B23" s="43">
        <v>300000</v>
      </c>
      <c r="C23" s="43">
        <v>55</v>
      </c>
      <c r="D23" s="43">
        <v>200</v>
      </c>
      <c r="E23" s="42" t="s">
        <v>369</v>
      </c>
      <c r="F23" s="42" t="s">
        <v>370</v>
      </c>
      <c r="G23" s="42" t="s">
        <v>370</v>
      </c>
    </row>
    <row r="24" spans="1:36">
      <c r="A24" s="42" t="s">
        <v>23</v>
      </c>
      <c r="B24" s="43">
        <v>350000</v>
      </c>
      <c r="C24" s="43">
        <v>64</v>
      </c>
      <c r="D24" s="43">
        <v>200</v>
      </c>
      <c r="E24" s="42" t="s">
        <v>369</v>
      </c>
      <c r="F24" s="42" t="s">
        <v>370</v>
      </c>
      <c r="G24" s="42" t="s">
        <v>370</v>
      </c>
    </row>
    <row r="25" spans="1:36">
      <c r="A25" s="42"/>
      <c r="B25" s="43"/>
      <c r="C25" s="43"/>
      <c r="D25" s="43"/>
      <c r="E25" s="42"/>
      <c r="F25" s="42"/>
      <c r="G25" s="42"/>
    </row>
  </sheetData>
  <sheetProtection algorithmName="SHA-512" hashValue="LEdnGus0jeJKCi/mXxmVcLzCt5VzMRCTeqwGSSZqkLpGMNng1D8l5t88BK2QhUvyJkdXMQ2y6uR268T06VeIyQ==" saltValue="jjXaR+QlfkArujw3VaWzSg==" spinCount="100000" sheet="1" selectLockedCells="1"/>
  <mergeCells count="8">
    <mergeCell ref="AL2:AM2"/>
    <mergeCell ref="AW2:BA2"/>
    <mergeCell ref="AF9:AG9"/>
    <mergeCell ref="AE12:AI12"/>
    <mergeCell ref="T2:U2"/>
    <mergeCell ref="W2:X2"/>
    <mergeCell ref="AA2:AB2"/>
    <mergeCell ref="AE2:AH2"/>
  </mergeCells>
  <pageMargins left="0.7" right="0.7" top="0.75" bottom="0.75" header="0.51180555555555496" footer="0.51180555555555496"/>
  <pageSetup firstPageNumber="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3"/>
  <dimension ref="A1:AD122"/>
  <sheetViews>
    <sheetView showGridLines="0" zoomScaleNormal="100" workbookViewId="0">
      <pane xSplit="7" ySplit="4" topLeftCell="Q5" activePane="bottomRight" state="frozen"/>
      <selection pane="topRight" activeCell="N22" sqref="N22"/>
      <selection pane="bottomLeft" activeCell="N22" sqref="N22"/>
      <selection pane="bottomRight" activeCell="R19" sqref="R19"/>
    </sheetView>
  </sheetViews>
  <sheetFormatPr baseColWidth="10" defaultColWidth="9.140625" defaultRowHeight="15" outlineLevelRow="1" outlineLevelCol="1"/>
  <cols>
    <col min="1" max="1" width="2" style="82" bestFit="1" customWidth="1"/>
    <col min="2" max="4" width="1.85546875" style="82" bestFit="1" customWidth="1"/>
    <col min="5" max="5" width="3.42578125" style="82" customWidth="1"/>
    <col min="6" max="6" width="4.7109375" customWidth="1"/>
    <col min="7" max="7" width="67.7109375" customWidth="1"/>
    <col min="8" max="8" width="18.85546875" bestFit="1" customWidth="1"/>
    <col min="9" max="9" width="12.42578125" customWidth="1"/>
    <col min="10" max="10" width="10.42578125" customWidth="1"/>
    <col min="11" max="11" width="14.42578125" customWidth="1"/>
    <col min="12" max="15" width="5.85546875" customWidth="1" outlineLevel="1"/>
    <col min="16" max="17" width="15.140625" customWidth="1"/>
    <col min="18" max="18" width="16.28515625" customWidth="1"/>
    <col min="19" max="19" width="16" customWidth="1"/>
    <col min="20" max="20" width="9.85546875" customWidth="1"/>
    <col min="21" max="1024" width="10.42578125" customWidth="1"/>
  </cols>
  <sheetData>
    <row r="1" spans="1:27" hidden="1">
      <c r="M1" s="83" t="s">
        <v>467</v>
      </c>
      <c r="N1" s="36" t="s">
        <v>468</v>
      </c>
      <c r="O1" s="84" t="s">
        <v>469</v>
      </c>
    </row>
    <row r="2" spans="1:27" hidden="1"/>
    <row r="3" spans="1:27" hidden="1"/>
    <row r="4" spans="1:27" ht="78.75">
      <c r="A4" s="614" t="s">
        <v>467</v>
      </c>
      <c r="B4" s="614" t="s">
        <v>468</v>
      </c>
      <c r="C4" s="614" t="s">
        <v>470</v>
      </c>
      <c r="D4" s="614"/>
      <c r="E4" s="85" t="s">
        <v>471</v>
      </c>
      <c r="F4" s="86" t="s">
        <v>472</v>
      </c>
      <c r="G4" s="85" t="s">
        <v>473</v>
      </c>
      <c r="H4" s="86" t="s">
        <v>474</v>
      </c>
      <c r="I4" s="85" t="s">
        <v>475</v>
      </c>
      <c r="J4" s="85" t="s">
        <v>476</v>
      </c>
      <c r="K4" s="85" t="s">
        <v>477</v>
      </c>
      <c r="L4" s="703" t="s">
        <v>478</v>
      </c>
      <c r="M4" s="703" t="s">
        <v>479</v>
      </c>
      <c r="N4" s="88" t="s">
        <v>480</v>
      </c>
      <c r="O4" s="87" t="s">
        <v>481</v>
      </c>
      <c r="P4" s="703" t="s">
        <v>482</v>
      </c>
      <c r="Q4" s="703" t="s">
        <v>483</v>
      </c>
      <c r="R4" s="87" t="s">
        <v>484</v>
      </c>
      <c r="S4" s="87" t="s">
        <v>485</v>
      </c>
      <c r="T4" s="740" t="s">
        <v>486</v>
      </c>
      <c r="U4" s="740" t="s">
        <v>487</v>
      </c>
      <c r="V4" s="740" t="s">
        <v>488</v>
      </c>
      <c r="W4" s="747" t="s">
        <v>489</v>
      </c>
      <c r="X4" s="754" t="s">
        <v>490</v>
      </c>
      <c r="Y4" s="755" t="s">
        <v>491</v>
      </c>
      <c r="Z4" s="755" t="s">
        <v>492</v>
      </c>
      <c r="AA4" s="756" t="s">
        <v>493</v>
      </c>
    </row>
    <row r="5" spans="1:27">
      <c r="A5" s="615">
        <v>1</v>
      </c>
      <c r="B5" s="615">
        <v>1</v>
      </c>
      <c r="C5" s="615">
        <v>1</v>
      </c>
      <c r="D5" s="616">
        <f t="shared" ref="D5:D36" si="0">IF(TipoTecho="Geodésico",A5,IF(TipoTecho="Flotante",B5,C5))</f>
        <v>1</v>
      </c>
      <c r="E5" s="89"/>
      <c r="F5" s="90">
        <v>1</v>
      </c>
      <c r="G5" s="91" t="s">
        <v>494</v>
      </c>
      <c r="H5" s="92"/>
      <c r="I5" s="93"/>
      <c r="J5" s="93"/>
      <c r="K5" s="93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748"/>
      <c r="X5" s="757"/>
      <c r="Y5" s="94"/>
      <c r="Z5" s="94"/>
      <c r="AA5" s="758"/>
    </row>
    <row r="6" spans="1:27" outlineLevel="1">
      <c r="A6" s="615">
        <v>1</v>
      </c>
      <c r="B6" s="615">
        <v>1</v>
      </c>
      <c r="C6" s="615">
        <v>1</v>
      </c>
      <c r="D6" s="616">
        <f t="shared" si="0"/>
        <v>1</v>
      </c>
      <c r="E6" s="89"/>
      <c r="F6" s="95" t="s">
        <v>495</v>
      </c>
      <c r="G6" s="96" t="s">
        <v>496</v>
      </c>
      <c r="H6" s="97" t="s">
        <v>497</v>
      </c>
      <c r="I6" s="645">
        <f>VLOOKUP($G6,'BD SuministroMontaje'!$A$1:$D$105,4,0)</f>
        <v>1.2284557463744317</v>
      </c>
      <c r="J6" s="793">
        <f>Regresiones!B36*Capacidad^Regresiones!B37</f>
        <v>277.49885478359965</v>
      </c>
      <c r="K6" s="646">
        <f>I6*J6</f>
        <v>340.89506277123695</v>
      </c>
      <c r="L6" s="657">
        <v>0.05</v>
      </c>
      <c r="M6" s="657">
        <v>0</v>
      </c>
      <c r="N6" s="657">
        <v>0.6</v>
      </c>
      <c r="O6" s="657">
        <v>0.35</v>
      </c>
      <c r="P6" s="650">
        <f>X6*T6</f>
        <v>19.254787743448972</v>
      </c>
      <c r="Q6" s="650">
        <f t="shared" ref="Q6:S6" si="1">Y6*U6</f>
        <v>0</v>
      </c>
      <c r="R6" s="650">
        <f t="shared" si="1"/>
        <v>214.20055261409402</v>
      </c>
      <c r="S6" s="650">
        <f t="shared" si="1"/>
        <v>129.00705750977008</v>
      </c>
      <c r="T6" s="743">
        <f>(ipc/ipc_base)*(trm_base/trm_calculo)</f>
        <v>1</v>
      </c>
      <c r="U6" s="743"/>
      <c r="V6" s="743">
        <f>fac_mano_obra</f>
        <v>1</v>
      </c>
      <c r="W6" s="749">
        <f>fac_iObraCivil</f>
        <v>1</v>
      </c>
      <c r="X6" s="761">
        <f>$K6*L6*$D6*1.12966069892131</f>
        <v>19.254787743448972</v>
      </c>
      <c r="Y6" s="762"/>
      <c r="Z6" s="762">
        <f>$K6*N6*$D6*1.04724579500015</f>
        <v>214.20055261409402</v>
      </c>
      <c r="AA6" s="763">
        <f>$K6*O6*$D6*1.0812464982293</f>
        <v>129.00705750977008</v>
      </c>
    </row>
    <row r="7" spans="1:27" outlineLevel="1">
      <c r="A7" s="615">
        <v>1</v>
      </c>
      <c r="B7" s="615">
        <v>1</v>
      </c>
      <c r="C7" s="615">
        <v>1</v>
      </c>
      <c r="D7" s="616">
        <f t="shared" si="0"/>
        <v>1</v>
      </c>
      <c r="E7" s="89"/>
      <c r="F7" s="95" t="s">
        <v>498</v>
      </c>
      <c r="G7" s="96" t="s">
        <v>499</v>
      </c>
      <c r="H7" s="97" t="s">
        <v>500</v>
      </c>
      <c r="I7" s="645">
        <f>VLOOKUP($G7,'BD SuministroMontaje'!$A$1:$D$105,4,0)</f>
        <v>7.3681937217908E-2</v>
      </c>
      <c r="J7" s="793">
        <f ca="1">SUMIF(H9:H119,"Kilogramo",J9:J119)*450/1000</f>
        <v>40316.972037484396</v>
      </c>
      <c r="K7" s="646">
        <f ca="1">I7*J7</f>
        <v>2970.6326024820778</v>
      </c>
      <c r="L7" s="657">
        <v>0.25</v>
      </c>
      <c r="M7" s="657">
        <v>0</v>
      </c>
      <c r="N7" s="657">
        <v>0</v>
      </c>
      <c r="O7" s="657">
        <v>0.75</v>
      </c>
      <c r="P7" s="650">
        <f ca="1">X7*T7</f>
        <v>838.95172548958351</v>
      </c>
      <c r="Q7" s="650">
        <f t="shared" ref="Q7" si="2">Y7*U7</f>
        <v>0</v>
      </c>
      <c r="R7" s="650">
        <f t="shared" ref="R7" si="3">Z7*V7</f>
        <v>0</v>
      </c>
      <c r="S7" s="650">
        <f ca="1">AA7*W7</f>
        <v>2408.9895742196541</v>
      </c>
      <c r="T7" s="743">
        <f>(ipc/ipc_base)*(trm_base/trm_calculo)</f>
        <v>1</v>
      </c>
      <c r="U7" s="743"/>
      <c r="V7" s="743"/>
      <c r="W7" s="749">
        <f>fac_iObraCivil</f>
        <v>1</v>
      </c>
      <c r="X7" s="761">
        <f ca="1">$K7*L7*$D7*1.12966069892131</f>
        <v>838.95172548958351</v>
      </c>
      <c r="Y7" s="762"/>
      <c r="Z7" s="762"/>
      <c r="AA7" s="763">
        <f ca="1">$K7*O7*$D7*1.0812464982293</f>
        <v>2408.9895742196541</v>
      </c>
    </row>
    <row r="8" spans="1:27">
      <c r="A8" s="615">
        <v>1</v>
      </c>
      <c r="B8" s="615">
        <v>1</v>
      </c>
      <c r="C8" s="615">
        <v>1</v>
      </c>
      <c r="D8" s="616">
        <f t="shared" si="0"/>
        <v>1</v>
      </c>
      <c r="F8" s="90">
        <v>2</v>
      </c>
      <c r="G8" s="91" t="s">
        <v>501</v>
      </c>
      <c r="H8" s="92"/>
      <c r="I8" s="93"/>
      <c r="J8" s="93"/>
      <c r="K8" s="93"/>
      <c r="L8" s="94"/>
      <c r="M8" s="94"/>
      <c r="N8" s="94"/>
      <c r="O8" s="94"/>
      <c r="P8" s="94"/>
      <c r="Q8" s="94"/>
      <c r="R8" s="94"/>
      <c r="S8" s="94"/>
      <c r="T8" s="744"/>
      <c r="U8" s="744"/>
      <c r="V8" s="744"/>
      <c r="W8" s="750"/>
      <c r="X8" s="757"/>
      <c r="Y8" s="94"/>
      <c r="Z8" s="94"/>
      <c r="AA8" s="758"/>
    </row>
    <row r="9" spans="1:27" outlineLevel="1">
      <c r="A9" s="615">
        <v>1</v>
      </c>
      <c r="B9" s="615">
        <v>1</v>
      </c>
      <c r="C9" s="615">
        <v>1</v>
      </c>
      <c r="D9" s="616">
        <f t="shared" si="0"/>
        <v>1</v>
      </c>
      <c r="E9" s="89" t="s">
        <v>502</v>
      </c>
      <c r="F9" s="95">
        <v>2.1</v>
      </c>
      <c r="G9" s="99" t="s">
        <v>503</v>
      </c>
      <c r="H9" s="100" t="s">
        <v>504</v>
      </c>
      <c r="I9" s="645">
        <f>'Materiales Tanque Base'!AB31</f>
        <v>2.0413738273533482</v>
      </c>
      <c r="J9" s="646">
        <f ca="1">'Materiales Tanque Base'!R34</f>
        <v>13464.872260069347</v>
      </c>
      <c r="K9" s="646">
        <f t="shared" ref="K9:K26" ca="1" si="4">I9*J9</f>
        <v>27486.837820361692</v>
      </c>
      <c r="L9" s="657">
        <v>0</v>
      </c>
      <c r="M9" s="657">
        <v>1</v>
      </c>
      <c r="N9" s="657">
        <v>0</v>
      </c>
      <c r="O9" s="657">
        <v>0</v>
      </c>
      <c r="P9" s="650">
        <f t="shared" ref="P9:P26" si="5">X9*T9</f>
        <v>0</v>
      </c>
      <c r="Q9" s="650">
        <f ca="1">Y9*U9</f>
        <v>22316.718461452481</v>
      </c>
      <c r="R9" s="650">
        <f t="shared" ref="R9:R26" si="6">Z9*V9</f>
        <v>0</v>
      </c>
      <c r="S9" s="650">
        <f t="shared" ref="S9:S26" si="7">AA9*W9</f>
        <v>0</v>
      </c>
      <c r="T9" s="743"/>
      <c r="U9" s="743">
        <f>+fac_iAcero</f>
        <v>1</v>
      </c>
      <c r="V9" s="743"/>
      <c r="W9" s="749"/>
      <c r="X9" s="761"/>
      <c r="Y9" s="762">
        <f ca="1">$K9*M9*$D9*0.811905633063426</f>
        <v>22316.718461452481</v>
      </c>
      <c r="Z9" s="762"/>
      <c r="AA9" s="763"/>
    </row>
    <row r="10" spans="1:27" outlineLevel="1">
      <c r="A10" s="615">
        <v>1</v>
      </c>
      <c r="B10" s="615">
        <v>1</v>
      </c>
      <c r="C10" s="615">
        <v>1</v>
      </c>
      <c r="D10" s="616">
        <f t="shared" si="0"/>
        <v>1</v>
      </c>
      <c r="E10" s="89" t="s">
        <v>502</v>
      </c>
      <c r="F10" s="95">
        <v>2.2000000000000002</v>
      </c>
      <c r="G10" s="99" t="s">
        <v>505</v>
      </c>
      <c r="H10" s="100" t="s">
        <v>504</v>
      </c>
      <c r="I10" s="651">
        <f>'Materiales Tanque Base'!AC31</f>
        <v>3.1663313340693735</v>
      </c>
      <c r="J10" s="646">
        <f>'Materiales Tanque Base'!S34</f>
        <v>3169.9207308790337</v>
      </c>
      <c r="K10" s="646">
        <f t="shared" si="4"/>
        <v>10037.019336698375</v>
      </c>
      <c r="L10" s="657">
        <v>0</v>
      </c>
      <c r="M10" s="657">
        <v>1</v>
      </c>
      <c r="N10" s="657">
        <v>0</v>
      </c>
      <c r="O10" s="657">
        <v>0</v>
      </c>
      <c r="P10" s="650">
        <f t="shared" si="5"/>
        <v>0</v>
      </c>
      <c r="Q10" s="650">
        <f t="shared" ref="Q10:Q26" si="8">Y10*U10</f>
        <v>8149.1125386319418</v>
      </c>
      <c r="R10" s="650">
        <f t="shared" si="6"/>
        <v>0</v>
      </c>
      <c r="S10" s="650">
        <f t="shared" si="7"/>
        <v>0</v>
      </c>
      <c r="T10" s="743"/>
      <c r="U10" s="743">
        <f>+fac_iAcero</f>
        <v>1</v>
      </c>
      <c r="V10" s="743"/>
      <c r="W10" s="749"/>
      <c r="X10" s="761"/>
      <c r="Y10" s="762">
        <f>$K10*M10*$D10*0.811905633063426</f>
        <v>8149.1125386319418</v>
      </c>
      <c r="Z10" s="762"/>
      <c r="AA10" s="763"/>
    </row>
    <row r="11" spans="1:27" outlineLevel="1">
      <c r="A11" s="615">
        <v>1</v>
      </c>
      <c r="B11" s="615">
        <v>1</v>
      </c>
      <c r="C11" s="615">
        <v>1</v>
      </c>
      <c r="D11" s="616">
        <f t="shared" si="0"/>
        <v>1</v>
      </c>
      <c r="E11" s="89" t="s">
        <v>502</v>
      </c>
      <c r="F11" s="95">
        <v>2.2999999999999998</v>
      </c>
      <c r="G11" s="99" t="s">
        <v>506</v>
      </c>
      <c r="H11" s="100" t="s">
        <v>504</v>
      </c>
      <c r="I11" s="651">
        <f>'Materiales Tanque Base'!AD31</f>
        <v>5.7026277032943744</v>
      </c>
      <c r="J11" s="646">
        <f>'Materiales Tanque Base'!T34</f>
        <v>358.51493766431065</v>
      </c>
      <c r="K11" s="646">
        <f t="shared" si="4"/>
        <v>2044.4772155693536</v>
      </c>
      <c r="L11" s="657">
        <v>0</v>
      </c>
      <c r="M11" s="657">
        <v>1</v>
      </c>
      <c r="N11" s="657">
        <v>0</v>
      </c>
      <c r="O11" s="657">
        <v>0</v>
      </c>
      <c r="P11" s="650">
        <f t="shared" si="5"/>
        <v>0</v>
      </c>
      <c r="Q11" s="650">
        <f t="shared" si="8"/>
        <v>1659.9225679905865</v>
      </c>
      <c r="R11" s="650">
        <f t="shared" si="6"/>
        <v>0</v>
      </c>
      <c r="S11" s="650">
        <f t="shared" si="7"/>
        <v>0</v>
      </c>
      <c r="T11" s="743"/>
      <c r="U11" s="743">
        <f>+fac_iAcero</f>
        <v>1</v>
      </c>
      <c r="V11" s="743"/>
      <c r="W11" s="749"/>
      <c r="X11" s="761"/>
      <c r="Y11" s="762">
        <f>$K11*M11*$D11*0.811905633063426</f>
        <v>1659.9225679905865</v>
      </c>
      <c r="Z11" s="762"/>
      <c r="AA11" s="763"/>
    </row>
    <row r="12" spans="1:27" outlineLevel="1">
      <c r="A12" s="615">
        <v>1</v>
      </c>
      <c r="B12" s="615">
        <v>1</v>
      </c>
      <c r="C12" s="615">
        <v>1</v>
      </c>
      <c r="D12" s="616">
        <f t="shared" si="0"/>
        <v>1</v>
      </c>
      <c r="E12" s="89" t="s">
        <v>502</v>
      </c>
      <c r="F12" s="95">
        <v>2.4</v>
      </c>
      <c r="G12" s="99" t="s">
        <v>507</v>
      </c>
      <c r="H12" s="100" t="s">
        <v>504</v>
      </c>
      <c r="I12" s="651">
        <f>'Materiales Tanque Base'!AE31</f>
        <v>2.1932153743721003</v>
      </c>
      <c r="J12" s="646">
        <f>'Materiales Tanque Base'!U34</f>
        <v>5257.7414160619101</v>
      </c>
      <c r="K12" s="646">
        <f t="shared" si="4"/>
        <v>11531.359308179919</v>
      </c>
      <c r="L12" s="657">
        <v>0.4</v>
      </c>
      <c r="M12" s="657">
        <v>0.6</v>
      </c>
      <c r="N12" s="657">
        <v>0</v>
      </c>
      <c r="O12" s="657">
        <v>0</v>
      </c>
      <c r="P12" s="650">
        <f t="shared" si="5"/>
        <v>3744.950231675859</v>
      </c>
      <c r="Q12" s="650">
        <f t="shared" si="8"/>
        <v>5617.4253475137884</v>
      </c>
      <c r="R12" s="650">
        <f t="shared" si="6"/>
        <v>0</v>
      </c>
      <c r="S12" s="650">
        <f t="shared" si="7"/>
        <v>0</v>
      </c>
      <c r="T12" s="743">
        <f>+fac_iAcero</f>
        <v>1</v>
      </c>
      <c r="U12" s="743">
        <f>+fac_iAcero</f>
        <v>1</v>
      </c>
      <c r="V12" s="743"/>
      <c r="W12" s="749"/>
      <c r="X12" s="761">
        <f>$K12*L12*$D12*0.811905633063426</f>
        <v>3744.950231675859</v>
      </c>
      <c r="Y12" s="762">
        <f>$K12*M12*$D12*0.811905633063426</f>
        <v>5617.4253475137884</v>
      </c>
      <c r="Z12" s="762"/>
      <c r="AA12" s="763"/>
    </row>
    <row r="13" spans="1:27" outlineLevel="1">
      <c r="A13" s="615">
        <v>1</v>
      </c>
      <c r="B13" s="615">
        <v>1</v>
      </c>
      <c r="C13" s="615">
        <v>1</v>
      </c>
      <c r="D13" s="616">
        <f t="shared" si="0"/>
        <v>1</v>
      </c>
      <c r="E13" s="89" t="s">
        <v>502</v>
      </c>
      <c r="F13" s="95">
        <v>2.5</v>
      </c>
      <c r="G13" s="99" t="s">
        <v>508</v>
      </c>
      <c r="H13" s="100" t="s">
        <v>504</v>
      </c>
      <c r="I13" s="651">
        <f>'Materiales Tanque Base'!AF31</f>
        <v>3.1189732567254729</v>
      </c>
      <c r="J13" s="646">
        <f>'Materiales Tanque Base'!V34</f>
        <v>500.63914346994375</v>
      </c>
      <c r="K13" s="646">
        <f t="shared" si="4"/>
        <v>1561.4800997527018</v>
      </c>
      <c r="L13" s="657">
        <v>1</v>
      </c>
      <c r="M13" s="657">
        <v>0</v>
      </c>
      <c r="N13" s="657">
        <v>0</v>
      </c>
      <c r="O13" s="657">
        <v>0</v>
      </c>
      <c r="P13" s="650">
        <f t="shared" si="5"/>
        <v>1267.7744889056589</v>
      </c>
      <c r="Q13" s="650">
        <f t="shared" si="8"/>
        <v>0</v>
      </c>
      <c r="R13" s="650">
        <f t="shared" si="6"/>
        <v>0</v>
      </c>
      <c r="S13" s="650">
        <f t="shared" si="7"/>
        <v>0</v>
      </c>
      <c r="T13" s="743">
        <f>+fac_iAcero</f>
        <v>1</v>
      </c>
      <c r="U13" s="743"/>
      <c r="V13" s="743"/>
      <c r="W13" s="749"/>
      <c r="X13" s="761">
        <f>$K13*L13*$D13*0.811905633063426</f>
        <v>1267.7744889056589</v>
      </c>
      <c r="Y13" s="762"/>
      <c r="Z13" s="762"/>
      <c r="AA13" s="763"/>
    </row>
    <row r="14" spans="1:27" outlineLevel="1">
      <c r="A14" s="615">
        <v>1</v>
      </c>
      <c r="B14" s="615">
        <v>0</v>
      </c>
      <c r="C14" s="615">
        <v>0</v>
      </c>
      <c r="D14" s="616">
        <f t="shared" si="0"/>
        <v>0</v>
      </c>
      <c r="E14" s="89" t="s">
        <v>502</v>
      </c>
      <c r="F14" s="101">
        <v>2.6</v>
      </c>
      <c r="G14" s="96" t="s">
        <v>509</v>
      </c>
      <c r="H14" s="97" t="s">
        <v>497</v>
      </c>
      <c r="I14" s="645">
        <f>VLOOKUP($G14,'BD SuministroMontaje'!$A$1:$D$105,4,0)</f>
        <v>243.79450509921676</v>
      </c>
      <c r="J14" s="647">
        <f>IF(ConMembrana="SI",(Diametro*Diametro*PI()*0.3048*0.3048/4),0)</f>
        <v>25.880591202292184</v>
      </c>
      <c r="K14" s="646">
        <f t="shared" si="4"/>
        <v>6309.5459238379663</v>
      </c>
      <c r="L14" s="657">
        <v>0.05</v>
      </c>
      <c r="M14" s="657">
        <v>0.95</v>
      </c>
      <c r="N14" s="657">
        <v>0</v>
      </c>
      <c r="O14" s="657">
        <v>0</v>
      </c>
      <c r="P14" s="650">
        <f t="shared" si="5"/>
        <v>0</v>
      </c>
      <c r="Q14" s="650">
        <f t="shared" si="8"/>
        <v>0</v>
      </c>
      <c r="R14" s="650">
        <f t="shared" si="6"/>
        <v>0</v>
      </c>
      <c r="S14" s="650">
        <f t="shared" si="7"/>
        <v>0</v>
      </c>
      <c r="T14" s="743">
        <f>+fac_iAluminio</f>
        <v>1</v>
      </c>
      <c r="U14" s="743">
        <f>+fac_iAluminio</f>
        <v>1</v>
      </c>
      <c r="V14" s="743"/>
      <c r="W14" s="749"/>
      <c r="X14" s="761">
        <f>$K14*L14*$D14*0.935578280242438</f>
        <v>0</v>
      </c>
      <c r="Y14" s="762">
        <f>$K14*M14*$D14*0.935578280242438</f>
        <v>0</v>
      </c>
      <c r="Z14" s="762"/>
      <c r="AA14" s="763"/>
    </row>
    <row r="15" spans="1:27" outlineLevel="1">
      <c r="A15" s="615">
        <v>1</v>
      </c>
      <c r="B15" s="615">
        <v>1</v>
      </c>
      <c r="C15" s="615">
        <v>1</v>
      </c>
      <c r="D15" s="616">
        <f t="shared" si="0"/>
        <v>1</v>
      </c>
      <c r="E15" s="89" t="s">
        <v>502</v>
      </c>
      <c r="F15" s="102">
        <v>2.6</v>
      </c>
      <c r="G15" s="96" t="s">
        <v>510</v>
      </c>
      <c r="H15" s="97" t="s">
        <v>504</v>
      </c>
      <c r="I15" s="645">
        <f>VLOOKUP($G15,'BD SuministroMontaje'!$A$1:$D$105,4,0)</f>
        <v>11.135881470081689</v>
      </c>
      <c r="J15" s="649">
        <f>FDPesoV*Diametro</f>
        <v>583.31018518415283</v>
      </c>
      <c r="K15" s="646">
        <f t="shared" si="4"/>
        <v>6495.6730825021259</v>
      </c>
      <c r="L15" s="657">
        <v>0</v>
      </c>
      <c r="M15" s="657">
        <v>1</v>
      </c>
      <c r="N15" s="657">
        <v>0</v>
      </c>
      <c r="O15" s="657">
        <v>0</v>
      </c>
      <c r="P15" s="650">
        <f t="shared" si="5"/>
        <v>0</v>
      </c>
      <c r="Q15" s="650">
        <f t="shared" si="8"/>
        <v>5273.8735662219442</v>
      </c>
      <c r="R15" s="650">
        <f t="shared" si="6"/>
        <v>0</v>
      </c>
      <c r="S15" s="650">
        <f t="shared" si="7"/>
        <v>0</v>
      </c>
      <c r="T15" s="743"/>
      <c r="U15" s="743">
        <f>+fac_iAcero</f>
        <v>1</v>
      </c>
      <c r="V15" s="743"/>
      <c r="W15" s="749"/>
      <c r="X15" s="761"/>
      <c r="Y15" s="762">
        <f>$K15*M15*$D15*0.811905633063426</f>
        <v>5273.8735662219442</v>
      </c>
      <c r="Z15" s="762"/>
      <c r="AA15" s="763"/>
    </row>
    <row r="16" spans="1:27" outlineLevel="1">
      <c r="A16" s="615">
        <v>1</v>
      </c>
      <c r="B16" s="615">
        <v>1</v>
      </c>
      <c r="C16" s="615">
        <v>1</v>
      </c>
      <c r="D16" s="616">
        <f t="shared" si="0"/>
        <v>1</v>
      </c>
      <c r="E16" s="89" t="s">
        <v>502</v>
      </c>
      <c r="F16" s="102">
        <v>2.7</v>
      </c>
      <c r="G16" s="96" t="s">
        <v>511</v>
      </c>
      <c r="H16" s="97" t="s">
        <v>504</v>
      </c>
      <c r="I16" s="645">
        <f>VLOOKUP($G16,'BD SuministroMontaje'!$A$1:$D$105,4,0)</f>
        <v>11.703486462305159</v>
      </c>
      <c r="J16" s="652">
        <f>+J15*0.05</f>
        <v>29.165509259207642</v>
      </c>
      <c r="K16" s="646">
        <f t="shared" si="4"/>
        <v>341.33814278137243</v>
      </c>
      <c r="L16" s="657">
        <v>0</v>
      </c>
      <c r="M16" s="657">
        <v>1</v>
      </c>
      <c r="N16" s="657">
        <v>0</v>
      </c>
      <c r="O16" s="657">
        <v>0</v>
      </c>
      <c r="P16" s="650">
        <f t="shared" si="5"/>
        <v>0</v>
      </c>
      <c r="Q16" s="650">
        <f t="shared" si="8"/>
        <v>277.13436090360426</v>
      </c>
      <c r="R16" s="650">
        <f t="shared" si="6"/>
        <v>0</v>
      </c>
      <c r="S16" s="650">
        <f t="shared" si="7"/>
        <v>0</v>
      </c>
      <c r="T16" s="743"/>
      <c r="U16" s="743">
        <f>+fac_iAcero</f>
        <v>1</v>
      </c>
      <c r="V16" s="743"/>
      <c r="W16" s="749"/>
      <c r="X16" s="761"/>
      <c r="Y16" s="762">
        <f>$K16*M16*$D16*0.811905633063426</f>
        <v>277.13436090360426</v>
      </c>
      <c r="Z16" s="762"/>
      <c r="AA16" s="763"/>
    </row>
    <row r="17" spans="1:30" outlineLevel="1">
      <c r="A17" s="615">
        <v>1</v>
      </c>
      <c r="B17" s="615">
        <v>1</v>
      </c>
      <c r="C17" s="615">
        <v>1</v>
      </c>
      <c r="D17" s="616">
        <f t="shared" si="0"/>
        <v>1</v>
      </c>
      <c r="E17" s="89" t="s">
        <v>502</v>
      </c>
      <c r="F17" s="102">
        <v>2.8</v>
      </c>
      <c r="G17" s="96" t="s">
        <v>512</v>
      </c>
      <c r="H17" s="97" t="s">
        <v>513</v>
      </c>
      <c r="I17" s="645">
        <f>VLOOKUP($G17,'BD SuministroMontaje'!$A$1:$D$105,4,0)</f>
        <v>3388.4053768163935</v>
      </c>
      <c r="J17" s="649">
        <f>+ROUNDUP((Diametro/45),0)</f>
        <v>1</v>
      </c>
      <c r="K17" s="646">
        <f t="shared" si="4"/>
        <v>3388.4053768163935</v>
      </c>
      <c r="L17" s="657">
        <v>0</v>
      </c>
      <c r="M17" s="657">
        <v>1</v>
      </c>
      <c r="N17" s="657">
        <v>0</v>
      </c>
      <c r="O17" s="657">
        <v>0</v>
      </c>
      <c r="P17" s="650">
        <f t="shared" si="5"/>
        <v>0</v>
      </c>
      <c r="Q17" s="650">
        <f t="shared" si="8"/>
        <v>2751.0654125396304</v>
      </c>
      <c r="R17" s="650">
        <f t="shared" si="6"/>
        <v>0</v>
      </c>
      <c r="S17" s="650">
        <f t="shared" si="7"/>
        <v>0</v>
      </c>
      <c r="T17" s="743"/>
      <c r="U17" s="743">
        <f>+fac_iAcero</f>
        <v>1</v>
      </c>
      <c r="V17" s="743"/>
      <c r="W17" s="749"/>
      <c r="X17" s="761"/>
      <c r="Y17" s="762">
        <f>$K17*M17*$D17*0.811905633063426</f>
        <v>2751.0654125396304</v>
      </c>
      <c r="Z17" s="762"/>
      <c r="AA17" s="763"/>
      <c r="AD17" s="741"/>
    </row>
    <row r="18" spans="1:30" ht="17.100000000000001" customHeight="1" outlineLevel="1">
      <c r="A18" s="615">
        <v>0</v>
      </c>
      <c r="B18" s="615">
        <v>1</v>
      </c>
      <c r="C18" s="615">
        <v>0</v>
      </c>
      <c r="D18" s="616">
        <f t="shared" si="0"/>
        <v>1</v>
      </c>
      <c r="E18" s="89" t="s">
        <v>502</v>
      </c>
      <c r="F18" s="103">
        <v>2.9</v>
      </c>
      <c r="G18" s="96" t="s">
        <v>514</v>
      </c>
      <c r="H18" s="97" t="s">
        <v>515</v>
      </c>
      <c r="I18" s="645">
        <f>VLOOKUP($G18,'BD SuministroMontaje'!$A$1:$D$105,4,0)</f>
        <v>461.38959702958908</v>
      </c>
      <c r="J18" s="649">
        <f>+Diametro*PI()*0.3048</f>
        <v>18.03399846863493</v>
      </c>
      <c r="K18" s="646">
        <f t="shared" si="4"/>
        <v>8320.6992862756979</v>
      </c>
      <c r="L18" s="657">
        <v>0</v>
      </c>
      <c r="M18" s="657">
        <v>1</v>
      </c>
      <c r="N18" s="657">
        <v>0</v>
      </c>
      <c r="O18" s="657">
        <v>0</v>
      </c>
      <c r="P18" s="650">
        <f t="shared" si="5"/>
        <v>0</v>
      </c>
      <c r="Q18" s="650">
        <f t="shared" si="8"/>
        <v>7784.665528668299</v>
      </c>
      <c r="R18" s="650">
        <f t="shared" si="6"/>
        <v>0</v>
      </c>
      <c r="S18" s="650">
        <f t="shared" si="7"/>
        <v>0</v>
      </c>
      <c r="T18" s="743"/>
      <c r="U18" s="743">
        <f>+fac_iAluminio</f>
        <v>1</v>
      </c>
      <c r="V18" s="743"/>
      <c r="W18" s="749"/>
      <c r="X18" s="761"/>
      <c r="Y18" s="762">
        <f>$K18*M18*$D18*0.935578280242438</f>
        <v>7784.665528668299</v>
      </c>
      <c r="Z18" s="762"/>
      <c r="AA18" s="763"/>
      <c r="AD18" s="741"/>
    </row>
    <row r="19" spans="1:30" ht="15" customHeight="1" outlineLevel="1">
      <c r="A19" s="615">
        <v>1</v>
      </c>
      <c r="B19" s="615">
        <v>1</v>
      </c>
      <c r="C19" s="615">
        <v>1</v>
      </c>
      <c r="D19" s="616">
        <f t="shared" si="0"/>
        <v>1</v>
      </c>
      <c r="E19" s="89" t="s">
        <v>502</v>
      </c>
      <c r="F19" s="104">
        <v>2.1</v>
      </c>
      <c r="G19" s="96" t="s">
        <v>516</v>
      </c>
      <c r="H19" s="97" t="s">
        <v>513</v>
      </c>
      <c r="I19" s="645">
        <f>VLOOKUP($G19,'BD SuministroMontaje'!$A$1:$D$105,4,0)</f>
        <v>4846.693475557774</v>
      </c>
      <c r="J19" s="793">
        <f>ROUNDUP(Regresiones!C36*Capacidad^Regresiones!C37,0)</f>
        <v>1</v>
      </c>
      <c r="K19" s="646">
        <f t="shared" si="4"/>
        <v>4846.693475557774</v>
      </c>
      <c r="L19" s="657">
        <v>0</v>
      </c>
      <c r="M19" s="657">
        <v>1</v>
      </c>
      <c r="N19" s="657">
        <v>0</v>
      </c>
      <c r="O19" s="657">
        <v>0</v>
      </c>
      <c r="P19" s="650">
        <f t="shared" si="5"/>
        <v>0</v>
      </c>
      <c r="Q19" s="650">
        <f t="shared" si="8"/>
        <v>3935.0577345371112</v>
      </c>
      <c r="R19" s="650">
        <f t="shared" si="6"/>
        <v>0</v>
      </c>
      <c r="S19" s="650">
        <f t="shared" si="7"/>
        <v>0</v>
      </c>
      <c r="T19" s="743"/>
      <c r="U19" s="743">
        <f t="shared" ref="U19:U25" si="9">+fac_iAcero</f>
        <v>1</v>
      </c>
      <c r="V19" s="743"/>
      <c r="W19" s="749"/>
      <c r="X19" s="761"/>
      <c r="Y19" s="762">
        <f>$K19*M19*$D19*0.811905633063426</f>
        <v>3935.0577345371112</v>
      </c>
      <c r="Z19" s="762"/>
      <c r="AA19" s="763"/>
      <c r="AD19" s="741"/>
    </row>
    <row r="20" spans="1:30" ht="15" customHeight="1" outlineLevel="1">
      <c r="A20" s="615">
        <v>0</v>
      </c>
      <c r="B20" s="615">
        <v>1</v>
      </c>
      <c r="C20" s="615">
        <v>0</v>
      </c>
      <c r="D20" s="616">
        <f t="shared" si="0"/>
        <v>1</v>
      </c>
      <c r="E20" s="89" t="s">
        <v>502</v>
      </c>
      <c r="F20" s="103">
        <v>2.11</v>
      </c>
      <c r="G20" s="96" t="s">
        <v>517</v>
      </c>
      <c r="H20" s="97" t="s">
        <v>513</v>
      </c>
      <c r="I20" s="645">
        <f>VLOOKUP($G20,'BD SuministroMontaje'!$A$1:$D$105,4,0)</f>
        <v>5502.7703319498323</v>
      </c>
      <c r="J20" s="649">
        <f>+ROUNDUP((Diametro/30),0)</f>
        <v>1</v>
      </c>
      <c r="K20" s="646">
        <f t="shared" si="4"/>
        <v>5502.7703319498323</v>
      </c>
      <c r="L20" s="657">
        <v>0</v>
      </c>
      <c r="M20" s="657">
        <v>1</v>
      </c>
      <c r="N20" s="657">
        <v>0</v>
      </c>
      <c r="O20" s="657">
        <v>0</v>
      </c>
      <c r="P20" s="650">
        <f t="shared" si="5"/>
        <v>0</v>
      </c>
      <c r="Q20" s="650">
        <f t="shared" si="8"/>
        <v>4467.730229964367</v>
      </c>
      <c r="R20" s="650">
        <f t="shared" si="6"/>
        <v>0</v>
      </c>
      <c r="S20" s="650">
        <f t="shared" si="7"/>
        <v>0</v>
      </c>
      <c r="T20" s="743"/>
      <c r="U20" s="743">
        <f t="shared" si="9"/>
        <v>1</v>
      </c>
      <c r="V20" s="743"/>
      <c r="W20" s="749"/>
      <c r="X20" s="761"/>
      <c r="Y20" s="762">
        <f>$K20*M20*$D20*0.811905633063426</f>
        <v>4467.730229964367</v>
      </c>
      <c r="Z20" s="762"/>
      <c r="AA20" s="763"/>
      <c r="AD20" s="741"/>
    </row>
    <row r="21" spans="1:30" ht="14.1" customHeight="1" outlineLevel="1">
      <c r="A21" s="615">
        <v>1</v>
      </c>
      <c r="B21" s="615">
        <v>1</v>
      </c>
      <c r="C21" s="615">
        <v>1</v>
      </c>
      <c r="D21" s="616">
        <f t="shared" si="0"/>
        <v>1</v>
      </c>
      <c r="E21" s="89" t="s">
        <v>502</v>
      </c>
      <c r="F21" s="95">
        <v>2.12</v>
      </c>
      <c r="G21" s="96" t="s">
        <v>518</v>
      </c>
      <c r="H21" s="97" t="s">
        <v>513</v>
      </c>
      <c r="I21" s="645">
        <f>VLOOKUP($G21,'BD SuministroMontaje'!$A$1:$D$105,4,0)</f>
        <v>1808.0531090692307</v>
      </c>
      <c r="J21" s="105">
        <v>1</v>
      </c>
      <c r="K21" s="646">
        <f t="shared" si="4"/>
        <v>1808.0531090692307</v>
      </c>
      <c r="L21" s="657">
        <v>0</v>
      </c>
      <c r="M21" s="657">
        <v>1</v>
      </c>
      <c r="N21" s="657">
        <v>0</v>
      </c>
      <c r="O21" s="657">
        <v>0</v>
      </c>
      <c r="P21" s="650">
        <f t="shared" si="5"/>
        <v>0</v>
      </c>
      <c r="Q21" s="650">
        <f t="shared" si="8"/>
        <v>1467.9685041311493</v>
      </c>
      <c r="R21" s="650">
        <f t="shared" si="6"/>
        <v>0</v>
      </c>
      <c r="S21" s="650">
        <f t="shared" si="7"/>
        <v>0</v>
      </c>
      <c r="T21" s="743"/>
      <c r="U21" s="743">
        <f t="shared" si="9"/>
        <v>1</v>
      </c>
      <c r="V21" s="743"/>
      <c r="W21" s="749"/>
      <c r="X21" s="761"/>
      <c r="Y21" s="762">
        <f>$K21*M21*$D21*0.811905633063426</f>
        <v>1467.9685041311493</v>
      </c>
      <c r="Z21" s="762"/>
      <c r="AA21" s="763"/>
      <c r="AD21" s="741"/>
    </row>
    <row r="22" spans="1:30" ht="14.1" customHeight="1" outlineLevel="1">
      <c r="A22" s="615">
        <v>0</v>
      </c>
      <c r="B22" s="615">
        <v>1</v>
      </c>
      <c r="C22" s="615">
        <v>0</v>
      </c>
      <c r="D22" s="616">
        <f t="shared" si="0"/>
        <v>1</v>
      </c>
      <c r="E22" s="89" t="s">
        <v>502</v>
      </c>
      <c r="F22" s="103">
        <v>2.13</v>
      </c>
      <c r="G22" s="96" t="s">
        <v>519</v>
      </c>
      <c r="H22" s="97" t="s">
        <v>513</v>
      </c>
      <c r="I22" s="645">
        <f>VLOOKUP($G22,'BD SuministroMontaje'!$A$1:$D$105,4,0)</f>
        <v>18141.001094340107</v>
      </c>
      <c r="J22" s="649">
        <f>IF((Diametro&gt;170),2,1)</f>
        <v>1</v>
      </c>
      <c r="K22" s="646">
        <f t="shared" si="4"/>
        <v>18141.001094340107</v>
      </c>
      <c r="L22" s="657">
        <v>0</v>
      </c>
      <c r="M22" s="657">
        <v>1</v>
      </c>
      <c r="N22" s="657">
        <v>0</v>
      </c>
      <c r="O22" s="657">
        <v>0</v>
      </c>
      <c r="P22" s="650">
        <f t="shared" si="5"/>
        <v>0</v>
      </c>
      <c r="Q22" s="650">
        <f t="shared" si="8"/>
        <v>14728.780977904507</v>
      </c>
      <c r="R22" s="650">
        <f t="shared" si="6"/>
        <v>0</v>
      </c>
      <c r="S22" s="650">
        <f t="shared" si="7"/>
        <v>0</v>
      </c>
      <c r="T22" s="743"/>
      <c r="U22" s="743">
        <f t="shared" si="9"/>
        <v>1</v>
      </c>
      <c r="V22" s="743"/>
      <c r="W22" s="749"/>
      <c r="X22" s="761"/>
      <c r="Y22" s="762">
        <f>$K22*M22*$D22*0.811905633063426</f>
        <v>14728.780977904507</v>
      </c>
      <c r="Z22" s="762"/>
      <c r="AA22" s="763"/>
      <c r="AD22" s="741"/>
    </row>
    <row r="23" spans="1:30" ht="17.100000000000001" customHeight="1" outlineLevel="1">
      <c r="A23" s="615">
        <v>0</v>
      </c>
      <c r="B23" s="615">
        <v>1</v>
      </c>
      <c r="C23" s="615">
        <v>0</v>
      </c>
      <c r="D23" s="616">
        <f t="shared" si="0"/>
        <v>1</v>
      </c>
      <c r="E23" s="89" t="s">
        <v>502</v>
      </c>
      <c r="F23" s="103">
        <v>2.14</v>
      </c>
      <c r="G23" s="96" t="s">
        <v>520</v>
      </c>
      <c r="H23" s="97" t="s">
        <v>513</v>
      </c>
      <c r="I23" s="645">
        <f>VLOOKUP($G23,'BD SuministroMontaje'!$A$1:$D$105,4,0)</f>
        <v>16121.099711987112</v>
      </c>
      <c r="J23" s="105">
        <v>1</v>
      </c>
      <c r="K23" s="646">
        <f t="shared" si="4"/>
        <v>16121.099711987112</v>
      </c>
      <c r="L23" s="657">
        <v>0</v>
      </c>
      <c r="M23" s="657">
        <v>1</v>
      </c>
      <c r="N23" s="657">
        <v>0</v>
      </c>
      <c r="O23" s="657">
        <v>0</v>
      </c>
      <c r="P23" s="650">
        <f t="shared" si="5"/>
        <v>0</v>
      </c>
      <c r="Q23" s="650">
        <f t="shared" si="8"/>
        <v>13088.811667339511</v>
      </c>
      <c r="R23" s="650">
        <f t="shared" si="6"/>
        <v>0</v>
      </c>
      <c r="S23" s="650">
        <f t="shared" si="7"/>
        <v>0</v>
      </c>
      <c r="T23" s="743"/>
      <c r="U23" s="743">
        <f t="shared" si="9"/>
        <v>1</v>
      </c>
      <c r="V23" s="743"/>
      <c r="W23" s="749"/>
      <c r="X23" s="761"/>
      <c r="Y23" s="762">
        <f>$K23*M23*$D23*0.811905633063426</f>
        <v>13088.811667339511</v>
      </c>
      <c r="Z23" s="762"/>
      <c r="AA23" s="763"/>
      <c r="AD23" s="741"/>
    </row>
    <row r="24" spans="1:30" ht="17.100000000000001" customHeight="1" outlineLevel="1">
      <c r="A24" s="615">
        <v>1</v>
      </c>
      <c r="B24" s="615">
        <v>1</v>
      </c>
      <c r="C24" s="615">
        <v>1</v>
      </c>
      <c r="D24" s="616">
        <f t="shared" si="0"/>
        <v>1</v>
      </c>
      <c r="E24" s="89" t="s">
        <v>502</v>
      </c>
      <c r="F24" s="95">
        <v>2.15</v>
      </c>
      <c r="G24" s="96" t="s">
        <v>521</v>
      </c>
      <c r="H24" s="97" t="s">
        <v>513</v>
      </c>
      <c r="I24" s="645">
        <f>VLOOKUP($G24,'BD SuministroMontaje'!$A$1:$D$105,4,0)</f>
        <v>125.18332397096563</v>
      </c>
      <c r="J24" s="793">
        <f>ROUNDUP(Regresiones!D36*Capacidad^Regresiones!D37,0)</f>
        <v>16</v>
      </c>
      <c r="K24" s="646">
        <f t="shared" si="4"/>
        <v>2002.9331835354501</v>
      </c>
      <c r="L24" s="657">
        <v>1</v>
      </c>
      <c r="M24" s="657">
        <v>0</v>
      </c>
      <c r="N24" s="657">
        <v>0</v>
      </c>
      <c r="O24" s="657">
        <v>0</v>
      </c>
      <c r="P24" s="650">
        <f t="shared" si="5"/>
        <v>1626.1927343620928</v>
      </c>
      <c r="Q24" s="650">
        <f t="shared" si="8"/>
        <v>0</v>
      </c>
      <c r="R24" s="650">
        <f t="shared" si="6"/>
        <v>0</v>
      </c>
      <c r="S24" s="650">
        <f t="shared" si="7"/>
        <v>0</v>
      </c>
      <c r="T24" s="743">
        <f t="shared" ref="T24" si="10">+fac_iAcero*(trm_base/trm_calculo)</f>
        <v>1</v>
      </c>
      <c r="U24" s="743"/>
      <c r="V24" s="743"/>
      <c r="W24" s="749"/>
      <c r="X24" s="761">
        <f>$K24*L24*$D24*0.811905633063426</f>
        <v>1626.1927343620928</v>
      </c>
      <c r="Y24" s="762"/>
      <c r="Z24" s="762"/>
      <c r="AA24" s="763"/>
      <c r="AD24" s="741"/>
    </row>
    <row r="25" spans="1:30" ht="17.100000000000001" customHeight="1" outlineLevel="1">
      <c r="A25" s="615">
        <v>1</v>
      </c>
      <c r="B25" s="615">
        <v>1</v>
      </c>
      <c r="C25" s="615">
        <v>1</v>
      </c>
      <c r="D25" s="616">
        <f t="shared" si="0"/>
        <v>1</v>
      </c>
      <c r="E25" s="89" t="s">
        <v>502</v>
      </c>
      <c r="F25" s="95">
        <v>2.16</v>
      </c>
      <c r="G25" s="96" t="s">
        <v>522</v>
      </c>
      <c r="H25" s="97" t="s">
        <v>513</v>
      </c>
      <c r="I25" s="645">
        <f>VLOOKUP($G25,'BD SuministroMontaje'!$A$1:$D$105,4,0)</f>
        <v>2745.3381656101365</v>
      </c>
      <c r="J25" s="105">
        <v>1</v>
      </c>
      <c r="K25" s="646">
        <f t="shared" si="4"/>
        <v>2745.3381656101365</v>
      </c>
      <c r="L25" s="657">
        <v>0</v>
      </c>
      <c r="M25" s="657">
        <v>1</v>
      </c>
      <c r="N25" s="657">
        <v>0</v>
      </c>
      <c r="O25" s="657">
        <v>0</v>
      </c>
      <c r="P25" s="650">
        <f t="shared" si="5"/>
        <v>0</v>
      </c>
      <c r="Q25" s="650">
        <f t="shared" si="8"/>
        <v>2228.9555213228823</v>
      </c>
      <c r="R25" s="650">
        <f t="shared" si="6"/>
        <v>0</v>
      </c>
      <c r="S25" s="650">
        <f t="shared" si="7"/>
        <v>0</v>
      </c>
      <c r="T25" s="743"/>
      <c r="U25" s="743">
        <f t="shared" si="9"/>
        <v>1</v>
      </c>
      <c r="V25" s="743"/>
      <c r="W25" s="749"/>
      <c r="X25" s="761"/>
      <c r="Y25" s="762">
        <f>$K25*M25*$D25*0.811905633063426</f>
        <v>2228.9555213228823</v>
      </c>
      <c r="Z25" s="762"/>
      <c r="AA25" s="763"/>
      <c r="AD25" s="741"/>
    </row>
    <row r="26" spans="1:30" outlineLevel="1">
      <c r="A26" s="615">
        <v>1</v>
      </c>
      <c r="B26" s="615">
        <v>0</v>
      </c>
      <c r="C26" s="615">
        <v>0</v>
      </c>
      <c r="D26" s="616">
        <f t="shared" si="0"/>
        <v>0</v>
      </c>
      <c r="E26" s="89" t="s">
        <v>502</v>
      </c>
      <c r="F26" s="95"/>
      <c r="G26" s="96" t="s">
        <v>523</v>
      </c>
      <c r="H26" s="106" t="s">
        <v>497</v>
      </c>
      <c r="I26" s="645">
        <f>VLOOKUP($G26,'BD SuministroMontaje'!$A$1:$D$105,4,0)</f>
        <v>274.37391202794248</v>
      </c>
      <c r="J26" s="649">
        <f>Diametro*Diametro*0.3048*0.3048*PI()/4</f>
        <v>25.880591202292184</v>
      </c>
      <c r="K26" s="653">
        <f t="shared" si="4"/>
        <v>7100.9590537688582</v>
      </c>
      <c r="L26" s="657">
        <v>0</v>
      </c>
      <c r="M26" s="657">
        <v>1</v>
      </c>
      <c r="N26" s="657">
        <v>0</v>
      </c>
      <c r="O26" s="657">
        <v>0</v>
      </c>
      <c r="P26" s="650">
        <f t="shared" si="5"/>
        <v>0</v>
      </c>
      <c r="Q26" s="650">
        <f t="shared" si="8"/>
        <v>0</v>
      </c>
      <c r="R26" s="650">
        <f t="shared" si="6"/>
        <v>0</v>
      </c>
      <c r="S26" s="650">
        <f t="shared" si="7"/>
        <v>0</v>
      </c>
      <c r="T26" s="743"/>
      <c r="U26" s="743">
        <f>+fac_iAluminio</f>
        <v>1</v>
      </c>
      <c r="V26" s="743"/>
      <c r="W26" s="749"/>
      <c r="X26" s="761"/>
      <c r="Y26" s="762">
        <f>$K26*M26*$D26*0.935578280242438</f>
        <v>0</v>
      </c>
      <c r="Z26" s="762"/>
      <c r="AA26" s="763"/>
      <c r="AD26" s="741"/>
    </row>
    <row r="27" spans="1:30">
      <c r="A27" s="615">
        <v>1</v>
      </c>
      <c r="B27" s="615">
        <v>1</v>
      </c>
      <c r="C27" s="615">
        <v>1</v>
      </c>
      <c r="D27" s="616">
        <f t="shared" si="0"/>
        <v>1</v>
      </c>
      <c r="F27" s="90">
        <v>4</v>
      </c>
      <c r="G27" s="91" t="s">
        <v>524</v>
      </c>
      <c r="H27" s="92"/>
      <c r="I27" s="93"/>
      <c r="J27" s="93"/>
      <c r="K27" s="93"/>
      <c r="L27" s="94"/>
      <c r="M27" s="94"/>
      <c r="N27" s="94"/>
      <c r="O27" s="94"/>
      <c r="P27" s="94"/>
      <c r="Q27" s="94"/>
      <c r="R27" s="94"/>
      <c r="S27" s="94"/>
      <c r="T27" s="744"/>
      <c r="U27" s="744"/>
      <c r="V27" s="744"/>
      <c r="W27" s="750"/>
      <c r="X27" s="757"/>
      <c r="Y27" s="94"/>
      <c r="Z27" s="94"/>
      <c r="AA27" s="758"/>
      <c r="AD27" s="741"/>
    </row>
    <row r="28" spans="1:30">
      <c r="A28" s="615">
        <v>1</v>
      </c>
      <c r="B28" s="615">
        <v>1</v>
      </c>
      <c r="C28" s="615">
        <v>1</v>
      </c>
      <c r="D28" s="616">
        <f t="shared" si="0"/>
        <v>1</v>
      </c>
      <c r="E28" s="89"/>
      <c r="F28" s="108">
        <v>4.0999999999999996</v>
      </c>
      <c r="G28" s="109" t="s">
        <v>525</v>
      </c>
      <c r="H28" s="110"/>
      <c r="I28" s="111"/>
      <c r="J28" s="111"/>
      <c r="K28" s="111"/>
      <c r="L28" s="112"/>
      <c r="M28" s="112"/>
      <c r="N28" s="112"/>
      <c r="O28" s="112"/>
      <c r="P28" s="113"/>
      <c r="Q28" s="113"/>
      <c r="R28" s="113"/>
      <c r="S28" s="113"/>
      <c r="T28" s="745"/>
      <c r="U28" s="745"/>
      <c r="V28" s="745"/>
      <c r="W28" s="751"/>
      <c r="X28" s="759"/>
      <c r="Y28" s="113"/>
      <c r="Z28" s="113"/>
      <c r="AA28" s="760"/>
      <c r="AD28" s="741"/>
    </row>
    <row r="29" spans="1:30" outlineLevel="1">
      <c r="A29" s="615">
        <v>1</v>
      </c>
      <c r="B29" s="615">
        <v>1</v>
      </c>
      <c r="C29" s="615">
        <v>1</v>
      </c>
      <c r="D29" s="616">
        <f t="shared" si="0"/>
        <v>1</v>
      </c>
      <c r="E29" s="89" t="s">
        <v>526</v>
      </c>
      <c r="F29" s="108" t="s">
        <v>527</v>
      </c>
      <c r="G29" s="96" t="s">
        <v>528</v>
      </c>
      <c r="H29" s="97" t="s">
        <v>497</v>
      </c>
      <c r="I29" s="645">
        <f>VLOOKUP($G29,'BD SuministroMontaje'!$A$1:$D$105,4,0)</f>
        <v>1.0671177114317711</v>
      </c>
      <c r="J29" s="649">
        <f>+J6</f>
        <v>277.49885478359965</v>
      </c>
      <c r="K29" s="646">
        <f>I29*J29</f>
        <v>296.12394284161223</v>
      </c>
      <c r="L29" s="657">
        <v>0.15</v>
      </c>
      <c r="M29" s="657">
        <v>0</v>
      </c>
      <c r="N29" s="657">
        <v>0.15</v>
      </c>
      <c r="O29" s="657">
        <v>0.7</v>
      </c>
      <c r="P29" s="650">
        <f t="shared" ref="P29:P33" si="11">X29*T29</f>
        <v>48.027446435901986</v>
      </c>
      <c r="Q29" s="650">
        <f t="shared" ref="Q29:Q33" si="12">Y29*U29</f>
        <v>0</v>
      </c>
      <c r="R29" s="650">
        <f t="shared" ref="R29:R33" si="13">Z29*V29</f>
        <v>46.517183090961467</v>
      </c>
      <c r="S29" s="650">
        <f t="shared" ref="S29:S33" si="14">AA29*W29</f>
        <v>224.12808336754259</v>
      </c>
      <c r="T29" s="746">
        <f>fac_iObraCivil</f>
        <v>1</v>
      </c>
      <c r="U29" s="746"/>
      <c r="V29" s="746">
        <f>fac_mano_obra</f>
        <v>1</v>
      </c>
      <c r="W29" s="752">
        <f>fac_iObraCivil</f>
        <v>1</v>
      </c>
      <c r="X29" s="761">
        <f>$K29*L29*$D29*1.0812464982293</f>
        <v>48.027446435901986</v>
      </c>
      <c r="Y29" s="762"/>
      <c r="Z29" s="762">
        <f>$K29*N29*$D29*1.04724579500015</f>
        <v>46.517183090961467</v>
      </c>
      <c r="AA29" s="763">
        <f>$K29*O29*$D29*1.0812464982293</f>
        <v>224.12808336754259</v>
      </c>
      <c r="AD29" s="741"/>
    </row>
    <row r="30" spans="1:30" outlineLevel="1">
      <c r="A30" s="615">
        <v>1</v>
      </c>
      <c r="B30" s="615">
        <v>1</v>
      </c>
      <c r="C30" s="615">
        <v>1</v>
      </c>
      <c r="D30" s="616">
        <f t="shared" si="0"/>
        <v>1</v>
      </c>
      <c r="E30" s="89" t="s">
        <v>526</v>
      </c>
      <c r="F30" s="108" t="s">
        <v>529</v>
      </c>
      <c r="G30" s="96" t="s">
        <v>530</v>
      </c>
      <c r="H30" s="97" t="s">
        <v>531</v>
      </c>
      <c r="I30" s="645">
        <f>VLOOKUP($G30,'BD SuministroMontaje'!$A$1:$D$105,4,0)</f>
        <v>5.3355885571588555</v>
      </c>
      <c r="J30" s="649">
        <f>INT((((Diametro*0.3048+((Diametro*0.3048)+4))/2)*((Diametro*0.3048+((Diametro*0.3048)+4))/2)*PI()*2/4))</f>
        <v>94</v>
      </c>
      <c r="K30" s="646">
        <f>I30*J30</f>
        <v>501.54532437293244</v>
      </c>
      <c r="L30" s="657">
        <v>0.15</v>
      </c>
      <c r="M30" s="657">
        <v>0</v>
      </c>
      <c r="N30" s="657">
        <v>0.15</v>
      </c>
      <c r="O30" s="657">
        <v>0.7</v>
      </c>
      <c r="P30" s="650">
        <f t="shared" si="11"/>
        <v>81.344118852226742</v>
      </c>
      <c r="Q30" s="650">
        <f t="shared" si="12"/>
        <v>0</v>
      </c>
      <c r="R30" s="650">
        <f t="shared" si="13"/>
        <v>78.786184792730964</v>
      </c>
      <c r="S30" s="650">
        <f t="shared" si="14"/>
        <v>379.60588797705805</v>
      </c>
      <c r="T30" s="746">
        <f>fac_iObraCivil</f>
        <v>1</v>
      </c>
      <c r="U30" s="746"/>
      <c r="V30" s="746">
        <f>fac_mano_obra</f>
        <v>1</v>
      </c>
      <c r="W30" s="752">
        <f>fac_iObraCivil</f>
        <v>1</v>
      </c>
      <c r="X30" s="761">
        <f>$K30*L30*$D30*1.0812464982293</f>
        <v>81.344118852226742</v>
      </c>
      <c r="Y30" s="762"/>
      <c r="Z30" s="762">
        <f>$K30*N30*$D30*1.04724579500015</f>
        <v>78.786184792730964</v>
      </c>
      <c r="AA30" s="763">
        <f>$K30*O30*$D30*1.0812464982293</f>
        <v>379.60588797705805</v>
      </c>
      <c r="AD30" s="741"/>
    </row>
    <row r="31" spans="1:30" outlineLevel="1">
      <c r="A31" s="615">
        <v>1</v>
      </c>
      <c r="B31" s="615">
        <v>1</v>
      </c>
      <c r="C31" s="615">
        <v>1</v>
      </c>
      <c r="D31" s="616">
        <f t="shared" si="0"/>
        <v>1</v>
      </c>
      <c r="E31" s="89" t="s">
        <v>526</v>
      </c>
      <c r="F31" s="108" t="s">
        <v>532</v>
      </c>
      <c r="G31" s="96" t="s">
        <v>533</v>
      </c>
      <c r="H31" s="97" t="s">
        <v>531</v>
      </c>
      <c r="I31" s="645">
        <f>VLOOKUP($G31,'BD SuministroMontaje'!$A$1:$D$105,4,0)</f>
        <v>14.431496668886808</v>
      </c>
      <c r="J31" s="649">
        <f>INT(PI()*Diametro*0.3048*1.2+SQRT(J6)*4*2*0.8)</f>
        <v>128</v>
      </c>
      <c r="K31" s="646">
        <f>I31*J31</f>
        <v>1847.2315736175115</v>
      </c>
      <c r="L31" s="657">
        <v>0.15</v>
      </c>
      <c r="M31" s="657">
        <v>0</v>
      </c>
      <c r="N31" s="657">
        <v>0.3</v>
      </c>
      <c r="O31" s="657">
        <v>0.55000000000000004</v>
      </c>
      <c r="P31" s="650">
        <f t="shared" si="11"/>
        <v>299.59690055888007</v>
      </c>
      <c r="Q31" s="650">
        <f t="shared" si="12"/>
        <v>0</v>
      </c>
      <c r="R31" s="650">
        <f t="shared" si="13"/>
        <v>580.35164935873468</v>
      </c>
      <c r="S31" s="650">
        <f t="shared" si="14"/>
        <v>1098.5219687158935</v>
      </c>
      <c r="T31" s="746">
        <f>fac_iObraCivil</f>
        <v>1</v>
      </c>
      <c r="U31" s="746"/>
      <c r="V31" s="746">
        <f>fac_mano_obra</f>
        <v>1</v>
      </c>
      <c r="W31" s="752">
        <f>fac_iObraCivil</f>
        <v>1</v>
      </c>
      <c r="X31" s="761">
        <f>$K31*L31*$D31*1.0812464982293</f>
        <v>299.59690055888007</v>
      </c>
      <c r="Y31" s="762"/>
      <c r="Z31" s="762">
        <f>$K31*N31*$D31*1.04724579500015</f>
        <v>580.35164935873468</v>
      </c>
      <c r="AA31" s="763">
        <f>$K31*O31*$D31*1.0812464982293</f>
        <v>1098.5219687158935</v>
      </c>
      <c r="AD31" s="741"/>
    </row>
    <row r="32" spans="1:30" outlineLevel="1">
      <c r="A32" s="615">
        <v>1</v>
      </c>
      <c r="B32" s="615">
        <v>1</v>
      </c>
      <c r="C32" s="615">
        <v>1</v>
      </c>
      <c r="D32" s="616">
        <f t="shared" si="0"/>
        <v>1</v>
      </c>
      <c r="E32" s="89" t="s">
        <v>526</v>
      </c>
      <c r="F32" s="108" t="s">
        <v>534</v>
      </c>
      <c r="G32" s="96" t="s">
        <v>535</v>
      </c>
      <c r="H32" s="97" t="s">
        <v>531</v>
      </c>
      <c r="I32" s="645">
        <f>VLOOKUP($G32,'BD SuministroMontaje'!$A$1:$D$105,4,0)</f>
        <v>53.355885571588551</v>
      </c>
      <c r="J32" s="649">
        <f>+INT(SQRT(J6)*2*0.4*0.5*1.25)</f>
        <v>8</v>
      </c>
      <c r="K32" s="646">
        <f>I32*J32</f>
        <v>426.84708457270841</v>
      </c>
      <c r="L32" s="657">
        <v>0.1</v>
      </c>
      <c r="M32" s="657">
        <v>0</v>
      </c>
      <c r="N32" s="657">
        <v>0.75</v>
      </c>
      <c r="O32" s="657">
        <v>0.15</v>
      </c>
      <c r="P32" s="650">
        <f t="shared" si="11"/>
        <v>46.152691547362686</v>
      </c>
      <c r="Q32" s="650">
        <f t="shared" si="12"/>
        <v>0</v>
      </c>
      <c r="R32" s="650">
        <f t="shared" si="13"/>
        <v>335.26036082013172</v>
      </c>
      <c r="S32" s="650">
        <f t="shared" si="14"/>
        <v>69.229037321044018</v>
      </c>
      <c r="T32" s="746">
        <f>fac_iObraCivil</f>
        <v>1</v>
      </c>
      <c r="U32" s="746"/>
      <c r="V32" s="746">
        <f>fac_mano_obra</f>
        <v>1</v>
      </c>
      <c r="W32" s="752">
        <f>fac_iObraCivil</f>
        <v>1</v>
      </c>
      <c r="X32" s="761">
        <f>$K32*L32*$D32*1.0812464982293</f>
        <v>46.152691547362686</v>
      </c>
      <c r="Y32" s="762"/>
      <c r="Z32" s="762">
        <f>$K32*N32*$D32*1.04724579500015</f>
        <v>335.26036082013172</v>
      </c>
      <c r="AA32" s="763">
        <f>$K32*O32*$D32*1.0812464982293</f>
        <v>69.229037321044018</v>
      </c>
      <c r="AD32" s="741"/>
    </row>
    <row r="33" spans="1:30" ht="22.5" outlineLevel="1">
      <c r="A33" s="615">
        <v>1</v>
      </c>
      <c r="B33" s="615">
        <v>1</v>
      </c>
      <c r="C33" s="615">
        <v>1</v>
      </c>
      <c r="D33" s="616">
        <f t="shared" si="0"/>
        <v>1</v>
      </c>
      <c r="E33" s="89" t="s">
        <v>526</v>
      </c>
      <c r="F33" s="108" t="s">
        <v>536</v>
      </c>
      <c r="G33" s="96" t="s">
        <v>537</v>
      </c>
      <c r="H33" s="97" t="s">
        <v>531</v>
      </c>
      <c r="I33" s="645">
        <f>VLOOKUP($G33,'BD SuministroMontaje'!$A$1:$D$105,4,0)</f>
        <v>1.4291755063818363</v>
      </c>
      <c r="J33" s="649">
        <f>+J30+J31+J32+J29*0.2</f>
        <v>285.49977095671994</v>
      </c>
      <c r="K33" s="646">
        <f>I33*J33</f>
        <v>408.0292797289685</v>
      </c>
      <c r="L33" s="657">
        <v>0.15</v>
      </c>
      <c r="M33" s="657">
        <v>0</v>
      </c>
      <c r="N33" s="657">
        <v>0.15</v>
      </c>
      <c r="O33" s="657">
        <v>0.7</v>
      </c>
      <c r="P33" s="650">
        <f t="shared" si="11"/>
        <v>66.177034482295596</v>
      </c>
      <c r="Q33" s="650">
        <f t="shared" si="12"/>
        <v>0</v>
      </c>
      <c r="R33" s="650">
        <f t="shared" si="13"/>
        <v>64.096042114965329</v>
      </c>
      <c r="S33" s="650">
        <f t="shared" si="14"/>
        <v>308.82616091737947</v>
      </c>
      <c r="T33" s="746">
        <f>fac_iObraCivil</f>
        <v>1</v>
      </c>
      <c r="U33" s="746"/>
      <c r="V33" s="746">
        <f>fac_mano_obra</f>
        <v>1</v>
      </c>
      <c r="W33" s="752">
        <f>fac_iObraCivil</f>
        <v>1</v>
      </c>
      <c r="X33" s="761">
        <f>$K33*L33*$D33*1.0812464982293</f>
        <v>66.177034482295596</v>
      </c>
      <c r="Y33" s="762"/>
      <c r="Z33" s="762">
        <f>$K33*N33*$D33*1.04724579500015</f>
        <v>64.096042114965329</v>
      </c>
      <c r="AA33" s="763">
        <f>$K33*O33*$D33*1.0812464982293</f>
        <v>308.82616091737947</v>
      </c>
      <c r="AD33" s="741"/>
    </row>
    <row r="34" spans="1:30">
      <c r="A34" s="615">
        <v>1</v>
      </c>
      <c r="B34" s="615">
        <v>1</v>
      </c>
      <c r="C34" s="615">
        <v>1</v>
      </c>
      <c r="D34" s="616">
        <f t="shared" si="0"/>
        <v>1</v>
      </c>
      <c r="E34" s="89"/>
      <c r="F34" s="108">
        <v>4.2</v>
      </c>
      <c r="G34" s="109" t="s">
        <v>538</v>
      </c>
      <c r="H34" s="110"/>
      <c r="I34" s="111"/>
      <c r="J34" s="111"/>
      <c r="K34" s="111"/>
      <c r="L34" s="112"/>
      <c r="M34" s="112"/>
      <c r="N34" s="112"/>
      <c r="O34" s="112"/>
      <c r="P34" s="113"/>
      <c r="Q34" s="113"/>
      <c r="R34" s="113"/>
      <c r="S34" s="113"/>
      <c r="T34" s="745"/>
      <c r="U34" s="745"/>
      <c r="V34" s="745"/>
      <c r="W34" s="751"/>
      <c r="X34" s="759"/>
      <c r="Y34" s="113"/>
      <c r="Z34" s="113"/>
      <c r="AA34" s="760"/>
      <c r="AD34" s="741"/>
    </row>
    <row r="35" spans="1:30" outlineLevel="1">
      <c r="A35" s="615">
        <v>1</v>
      </c>
      <c r="B35" s="615">
        <v>1</v>
      </c>
      <c r="C35" s="615">
        <v>1</v>
      </c>
      <c r="D35" s="616">
        <f t="shared" si="0"/>
        <v>1</v>
      </c>
      <c r="E35" s="89" t="s">
        <v>526</v>
      </c>
      <c r="F35" s="108" t="s">
        <v>539</v>
      </c>
      <c r="G35" s="96" t="s">
        <v>540</v>
      </c>
      <c r="H35" s="97" t="s">
        <v>531</v>
      </c>
      <c r="I35" s="645">
        <f>VLOOKUP($G35,'BD SuministroMontaje'!$A$1:$D$105,4,0)</f>
        <v>19.055673418424483</v>
      </c>
      <c r="J35" s="649">
        <f>+J30</f>
        <v>94</v>
      </c>
      <c r="K35" s="646">
        <f>I35*J35</f>
        <v>1791.2333013319014</v>
      </c>
      <c r="L35" s="657">
        <v>0.3</v>
      </c>
      <c r="M35" s="657">
        <v>0</v>
      </c>
      <c r="N35" s="657">
        <v>0.2</v>
      </c>
      <c r="O35" s="657">
        <v>0.5</v>
      </c>
      <c r="P35" s="650">
        <f t="shared" ref="P35:P39" si="15">X35*T35</f>
        <v>581.02942037304797</v>
      </c>
      <c r="Q35" s="650">
        <f t="shared" ref="Q35:Q39" si="16">Y35*U35</f>
        <v>0</v>
      </c>
      <c r="R35" s="650">
        <f t="shared" ref="R35:R39" si="17">Z35*V35</f>
        <v>375.17230853681411</v>
      </c>
      <c r="S35" s="650">
        <f t="shared" ref="S35:S39" si="18">AA35*W35</f>
        <v>968.38236728841343</v>
      </c>
      <c r="T35" s="746">
        <f>fac_iObraCivil</f>
        <v>1</v>
      </c>
      <c r="U35" s="746"/>
      <c r="V35" s="746">
        <f>fac_mano_obra</f>
        <v>1</v>
      </c>
      <c r="W35" s="752">
        <f>fac_iObraCivil</f>
        <v>1</v>
      </c>
      <c r="X35" s="761">
        <f>$K35*L35*$D35*1.0812464982293</f>
        <v>581.02942037304797</v>
      </c>
      <c r="Y35" s="762"/>
      <c r="Z35" s="762">
        <f>$K35*N35*$D35*1.04724579500015</f>
        <v>375.17230853681411</v>
      </c>
      <c r="AA35" s="763">
        <f>$K35*O35*$D35*1.0812464982293</f>
        <v>968.38236728841343</v>
      </c>
      <c r="AD35" s="741"/>
    </row>
    <row r="36" spans="1:30" outlineLevel="1">
      <c r="A36" s="615">
        <v>1</v>
      </c>
      <c r="B36" s="615">
        <v>1</v>
      </c>
      <c r="C36" s="615">
        <v>1</v>
      </c>
      <c r="D36" s="616">
        <f t="shared" si="0"/>
        <v>1</v>
      </c>
      <c r="E36" s="89" t="s">
        <v>526</v>
      </c>
      <c r="F36" s="108" t="s">
        <v>541</v>
      </c>
      <c r="G36" s="96" t="s">
        <v>542</v>
      </c>
      <c r="H36" s="97" t="s">
        <v>531</v>
      </c>
      <c r="I36" s="645">
        <f>VLOOKUP($G36,'BD SuministroMontaje'!$A$1:$D$105,4,0)</f>
        <v>12.195630987791668</v>
      </c>
      <c r="J36" s="649">
        <f>+J32*0.8</f>
        <v>6.4</v>
      </c>
      <c r="K36" s="646">
        <f>I36*J36</f>
        <v>78.052038321866689</v>
      </c>
      <c r="L36" s="657">
        <v>0.15</v>
      </c>
      <c r="M36" s="657">
        <v>0</v>
      </c>
      <c r="N36" s="657">
        <v>0.65</v>
      </c>
      <c r="O36" s="657">
        <v>0.2</v>
      </c>
      <c r="P36" s="650">
        <f t="shared" si="15"/>
        <v>12.659023967276623</v>
      </c>
      <c r="Q36" s="650">
        <f t="shared" si="16"/>
        <v>0</v>
      </c>
      <c r="R36" s="650">
        <f t="shared" si="17"/>
        <v>53.130784800447543</v>
      </c>
      <c r="S36" s="650">
        <f t="shared" si="18"/>
        <v>16.878698623035497</v>
      </c>
      <c r="T36" s="746">
        <f>fac_iObraCivil</f>
        <v>1</v>
      </c>
      <c r="U36" s="746"/>
      <c r="V36" s="746">
        <f>fac_mano_obra</f>
        <v>1</v>
      </c>
      <c r="W36" s="752">
        <f>fac_iObraCivil</f>
        <v>1</v>
      </c>
      <c r="X36" s="761">
        <f>$K36*L36*$D36*1.0812464982293</f>
        <v>12.659023967276623</v>
      </c>
      <c r="Y36" s="762"/>
      <c r="Z36" s="762">
        <f>$K36*N36*$D36*1.04724579500015</f>
        <v>53.130784800447543</v>
      </c>
      <c r="AA36" s="763">
        <f>$K36*O36*$D36*1.0812464982293</f>
        <v>16.878698623035497</v>
      </c>
      <c r="AD36" s="741"/>
    </row>
    <row r="37" spans="1:30" outlineLevel="1">
      <c r="A37" s="615">
        <v>1</v>
      </c>
      <c r="B37" s="615">
        <v>1</v>
      </c>
      <c r="C37" s="615">
        <v>1</v>
      </c>
      <c r="D37" s="616">
        <f t="shared" ref="D37:D68" si="19">IF(TipoTecho="Geodésico",A37,IF(TipoTecho="Flotante",B37,C37))</f>
        <v>1</v>
      </c>
      <c r="E37" s="89" t="s">
        <v>526</v>
      </c>
      <c r="F37" s="108" t="s">
        <v>543</v>
      </c>
      <c r="G37" s="96" t="s">
        <v>544</v>
      </c>
      <c r="H37" s="97" t="s">
        <v>531</v>
      </c>
      <c r="I37" s="645">
        <f>VLOOKUP($G37,'BD SuministroMontaje'!$A$1:$D$105,4,0)</f>
        <v>32.775758279690109</v>
      </c>
      <c r="J37" s="649">
        <f>+INT((Diametro*0.3048-0.6)*(Diametro*0.3048-0.6)*PI()*0.5/4)</f>
        <v>10</v>
      </c>
      <c r="K37" s="646">
        <f>I37*J37</f>
        <v>327.75758279690109</v>
      </c>
      <c r="L37" s="657">
        <v>0.3</v>
      </c>
      <c r="M37" s="657">
        <v>0</v>
      </c>
      <c r="N37" s="657">
        <v>0.2</v>
      </c>
      <c r="O37" s="657">
        <v>0.5</v>
      </c>
      <c r="P37" s="650">
        <f t="shared" si="15"/>
        <v>106.31602160017475</v>
      </c>
      <c r="Q37" s="650">
        <f t="shared" si="16"/>
        <v>0</v>
      </c>
      <c r="R37" s="650">
        <f t="shared" si="17"/>
        <v>68.648550072693624</v>
      </c>
      <c r="S37" s="650">
        <f t="shared" si="18"/>
        <v>177.19336933362459</v>
      </c>
      <c r="T37" s="746">
        <f>fac_iObraCivil</f>
        <v>1</v>
      </c>
      <c r="U37" s="746"/>
      <c r="V37" s="746">
        <f>fac_mano_obra</f>
        <v>1</v>
      </c>
      <c r="W37" s="752">
        <f>fac_iObraCivil</f>
        <v>1</v>
      </c>
      <c r="X37" s="761">
        <f>$K37*L37*$D37*1.0812464982293</f>
        <v>106.31602160017475</v>
      </c>
      <c r="Y37" s="762"/>
      <c r="Z37" s="762">
        <f>$K37*N37*$D37*1.04724579500015</f>
        <v>68.648550072693624</v>
      </c>
      <c r="AA37" s="763">
        <f>$K37*O37*$D37*1.0812464982293</f>
        <v>177.19336933362459</v>
      </c>
      <c r="AD37" s="741"/>
    </row>
    <row r="38" spans="1:30" outlineLevel="1">
      <c r="A38" s="615">
        <v>1</v>
      </c>
      <c r="B38" s="615">
        <v>1</v>
      </c>
      <c r="C38" s="615">
        <v>1</v>
      </c>
      <c r="D38" s="616">
        <f t="shared" si="19"/>
        <v>1</v>
      </c>
      <c r="E38" s="89" t="s">
        <v>526</v>
      </c>
      <c r="F38" s="108" t="s">
        <v>545</v>
      </c>
      <c r="G38" s="96" t="s">
        <v>546</v>
      </c>
      <c r="H38" s="97" t="s">
        <v>531</v>
      </c>
      <c r="I38" s="645">
        <f>VLOOKUP($G38,'BD SuministroMontaje'!$A$1:$D$105,4,0)</f>
        <v>36.205779495006517</v>
      </c>
      <c r="J38" s="649">
        <f>+INT(J37*0.3/0.5)</f>
        <v>6</v>
      </c>
      <c r="K38" s="646">
        <f>I38*J38</f>
        <v>217.23467697003912</v>
      </c>
      <c r="L38" s="657">
        <v>0.3</v>
      </c>
      <c r="M38" s="657">
        <v>0</v>
      </c>
      <c r="N38" s="657">
        <v>0.2</v>
      </c>
      <c r="O38" s="657">
        <v>0.5</v>
      </c>
      <c r="P38" s="650">
        <f t="shared" si="15"/>
        <v>70.465270130348387</v>
      </c>
      <c r="Q38" s="650">
        <f t="shared" si="16"/>
        <v>0</v>
      </c>
      <c r="R38" s="650">
        <f t="shared" si="17"/>
        <v>45.499620397017878</v>
      </c>
      <c r="S38" s="650">
        <f t="shared" si="18"/>
        <v>117.44211688391398</v>
      </c>
      <c r="T38" s="746">
        <f>fac_iObraCivil</f>
        <v>1</v>
      </c>
      <c r="U38" s="746"/>
      <c r="V38" s="746">
        <f>fac_mano_obra</f>
        <v>1</v>
      </c>
      <c r="W38" s="752">
        <f>fac_iObraCivil</f>
        <v>1</v>
      </c>
      <c r="X38" s="761">
        <f>$K38*L38*$D38*1.0812464982293</f>
        <v>70.465270130348387</v>
      </c>
      <c r="Y38" s="762"/>
      <c r="Z38" s="762">
        <f>$K38*N38*$D38*1.04724579500015</f>
        <v>45.499620397017878</v>
      </c>
      <c r="AA38" s="763">
        <f>$K38*O38*$D38*1.0812464982293</f>
        <v>117.44211688391398</v>
      </c>
      <c r="AD38" s="741"/>
    </row>
    <row r="39" spans="1:30" outlineLevel="1">
      <c r="A39" s="615">
        <v>1</v>
      </c>
      <c r="B39" s="615">
        <v>1</v>
      </c>
      <c r="C39" s="615">
        <v>1</v>
      </c>
      <c r="D39" s="616">
        <f t="shared" si="19"/>
        <v>1</v>
      </c>
      <c r="E39" s="89" t="s">
        <v>526</v>
      </c>
      <c r="F39" s="108" t="s">
        <v>547</v>
      </c>
      <c r="G39" s="96" t="s">
        <v>548</v>
      </c>
      <c r="H39" s="97" t="s">
        <v>531</v>
      </c>
      <c r="I39" s="645">
        <f>VLOOKUP($G39,'BD SuministroMontaje'!$A$1:$D$105,4,0)</f>
        <v>32.775758279690109</v>
      </c>
      <c r="J39" s="649">
        <f>+INT((J6-(Diametro*0.3048*Diametro*0.3048*PI()/4))*0.2)</f>
        <v>50</v>
      </c>
      <c r="K39" s="646">
        <f>I39*J39</f>
        <v>1638.7879139845054</v>
      </c>
      <c r="L39" s="657">
        <v>0.3</v>
      </c>
      <c r="M39" s="657">
        <v>0</v>
      </c>
      <c r="N39" s="657">
        <v>0.2</v>
      </c>
      <c r="O39" s="657">
        <v>0.5</v>
      </c>
      <c r="P39" s="650">
        <f t="shared" si="15"/>
        <v>531.58010800087368</v>
      </c>
      <c r="Q39" s="650">
        <f t="shared" si="16"/>
        <v>0</v>
      </c>
      <c r="R39" s="650">
        <f t="shared" si="17"/>
        <v>343.24275036346813</v>
      </c>
      <c r="S39" s="650">
        <f t="shared" si="18"/>
        <v>885.9668466681228</v>
      </c>
      <c r="T39" s="746">
        <f>fac_iObraCivil</f>
        <v>1</v>
      </c>
      <c r="U39" s="746"/>
      <c r="V39" s="746">
        <f>fac_mano_obra</f>
        <v>1</v>
      </c>
      <c r="W39" s="752">
        <f>fac_iObraCivil</f>
        <v>1</v>
      </c>
      <c r="X39" s="761">
        <f>$K39*L39*$D39*1.0812464982293</f>
        <v>531.58010800087368</v>
      </c>
      <c r="Y39" s="762"/>
      <c r="Z39" s="762">
        <f>$K39*N39*$D39*1.04724579500015</f>
        <v>343.24275036346813</v>
      </c>
      <c r="AA39" s="763">
        <f>$K39*O39*$D39*1.0812464982293</f>
        <v>885.9668466681228</v>
      </c>
      <c r="AD39" s="741"/>
    </row>
    <row r="40" spans="1:30">
      <c r="A40" s="615">
        <v>1</v>
      </c>
      <c r="B40" s="615">
        <v>1</v>
      </c>
      <c r="C40" s="615">
        <v>1</v>
      </c>
      <c r="D40" s="616">
        <f t="shared" si="19"/>
        <v>1</v>
      </c>
      <c r="E40" s="89"/>
      <c r="F40" s="108">
        <v>4.3</v>
      </c>
      <c r="G40" s="109" t="s">
        <v>549</v>
      </c>
      <c r="H40" s="110"/>
      <c r="I40" s="111"/>
      <c r="J40" s="111"/>
      <c r="K40" s="111"/>
      <c r="L40" s="112"/>
      <c r="M40" s="112"/>
      <c r="N40" s="112"/>
      <c r="O40" s="112"/>
      <c r="P40" s="113"/>
      <c r="Q40" s="113"/>
      <c r="R40" s="113"/>
      <c r="S40" s="113"/>
      <c r="T40" s="745"/>
      <c r="U40" s="745"/>
      <c r="V40" s="745"/>
      <c r="W40" s="751"/>
      <c r="X40" s="759"/>
      <c r="Y40" s="113"/>
      <c r="Z40" s="113"/>
      <c r="AA40" s="760"/>
      <c r="AD40" s="741"/>
    </row>
    <row r="41" spans="1:30" outlineLevel="1">
      <c r="A41" s="615">
        <v>1</v>
      </c>
      <c r="B41" s="615">
        <v>1</v>
      </c>
      <c r="C41" s="615">
        <v>1</v>
      </c>
      <c r="D41" s="616">
        <f t="shared" si="19"/>
        <v>1</v>
      </c>
      <c r="E41" s="89" t="s">
        <v>526</v>
      </c>
      <c r="F41" s="108" t="s">
        <v>550</v>
      </c>
      <c r="G41" s="96" t="s">
        <v>551</v>
      </c>
      <c r="H41" s="97" t="s">
        <v>531</v>
      </c>
      <c r="I41" s="645">
        <f>VLOOKUP($G41,'BD SuministroMontaje'!$A$1:$D$105,4,0)</f>
        <v>325.38105259684733</v>
      </c>
      <c r="J41" s="649">
        <f>INT(PI()*Diametro*0.3048*1.25)</f>
        <v>22</v>
      </c>
      <c r="K41" s="646">
        <f t="shared" ref="K41:K50" si="20">I41*J41</f>
        <v>7158.3831571306409</v>
      </c>
      <c r="L41" s="657">
        <v>0.3</v>
      </c>
      <c r="M41" s="657">
        <v>0</v>
      </c>
      <c r="N41" s="657">
        <v>0.5</v>
      </c>
      <c r="O41" s="657">
        <v>0.2</v>
      </c>
      <c r="P41" s="650">
        <f t="shared" ref="P41:P50" si="21">X41*T41</f>
        <v>2321.9930164893321</v>
      </c>
      <c r="Q41" s="650">
        <f t="shared" ref="Q41:Q50" si="22">Y41*U41</f>
        <v>0</v>
      </c>
      <c r="R41" s="650">
        <f t="shared" ref="R41:R50" si="23">Z41*V41</f>
        <v>3748.2933301524804</v>
      </c>
      <c r="S41" s="650">
        <f t="shared" ref="S41:S50" si="24">AA41*W41</f>
        <v>1547.9953443262214</v>
      </c>
      <c r="T41" s="746">
        <f t="shared" ref="T41:T50" si="25">fac_iObraCivil</f>
        <v>1</v>
      </c>
      <c r="U41" s="746"/>
      <c r="V41" s="746">
        <f t="shared" ref="V41:V50" si="26">fac_mano_obra</f>
        <v>1</v>
      </c>
      <c r="W41" s="752">
        <f t="shared" ref="W41:W50" si="27">fac_iObraCivil</f>
        <v>1</v>
      </c>
      <c r="X41" s="761">
        <f t="shared" ref="X41:X50" si="28">$K41*L41*$D41*1.0812464982293</f>
        <v>2321.9930164893321</v>
      </c>
      <c r="Y41" s="762"/>
      <c r="Z41" s="762">
        <f t="shared" ref="Z41:Z50" si="29">$K41*N41*$D41*1.04724579500015</f>
        <v>3748.2933301524804</v>
      </c>
      <c r="AA41" s="763">
        <f t="shared" ref="AA41:AA50" si="30">$K41*O41*$D41*1.0812464982293</f>
        <v>1547.9953443262214</v>
      </c>
      <c r="AD41" s="741"/>
    </row>
    <row r="42" spans="1:30" outlineLevel="1">
      <c r="A42" s="615">
        <v>1</v>
      </c>
      <c r="B42" s="615">
        <v>1</v>
      </c>
      <c r="C42" s="615">
        <v>1</v>
      </c>
      <c r="D42" s="616">
        <f t="shared" si="19"/>
        <v>1</v>
      </c>
      <c r="E42" s="89" t="s">
        <v>526</v>
      </c>
      <c r="F42" s="108" t="s">
        <v>552</v>
      </c>
      <c r="G42" s="96" t="s">
        <v>553</v>
      </c>
      <c r="H42" s="97" t="s">
        <v>531</v>
      </c>
      <c r="I42" s="645">
        <f>VLOOKUP($G42,'BD SuministroMontaje'!$A$1:$D$105,4,0)</f>
        <v>325.38105259684733</v>
      </c>
      <c r="J42" s="649">
        <f>INT(SQRT(J6)*4*1.32)</f>
        <v>87</v>
      </c>
      <c r="K42" s="646">
        <f t="shared" si="20"/>
        <v>28308.151575925716</v>
      </c>
      <c r="L42" s="657">
        <v>0.3</v>
      </c>
      <c r="M42" s="657">
        <v>0</v>
      </c>
      <c r="N42" s="657">
        <v>0.5</v>
      </c>
      <c r="O42" s="657">
        <v>0.2</v>
      </c>
      <c r="P42" s="650">
        <f t="shared" si="21"/>
        <v>9182.4269288441756</v>
      </c>
      <c r="Q42" s="650">
        <f t="shared" si="22"/>
        <v>0</v>
      </c>
      <c r="R42" s="650">
        <f t="shared" si="23"/>
        <v>14822.796351057537</v>
      </c>
      <c r="S42" s="650">
        <f t="shared" si="24"/>
        <v>6121.617952562784</v>
      </c>
      <c r="T42" s="746">
        <f t="shared" si="25"/>
        <v>1</v>
      </c>
      <c r="U42" s="746"/>
      <c r="V42" s="746">
        <f t="shared" si="26"/>
        <v>1</v>
      </c>
      <c r="W42" s="752">
        <f t="shared" si="27"/>
        <v>1</v>
      </c>
      <c r="X42" s="761">
        <f t="shared" si="28"/>
        <v>9182.4269288441756</v>
      </c>
      <c r="Y42" s="762"/>
      <c r="Z42" s="762">
        <f t="shared" si="29"/>
        <v>14822.796351057537</v>
      </c>
      <c r="AA42" s="763">
        <f t="shared" si="30"/>
        <v>6121.617952562784</v>
      </c>
      <c r="AD42" s="741"/>
    </row>
    <row r="43" spans="1:30" outlineLevel="1">
      <c r="A43" s="615">
        <v>1</v>
      </c>
      <c r="B43" s="615">
        <v>1</v>
      </c>
      <c r="C43" s="615">
        <v>1</v>
      </c>
      <c r="D43" s="616">
        <f t="shared" si="19"/>
        <v>1</v>
      </c>
      <c r="E43" s="89" t="s">
        <v>526</v>
      </c>
      <c r="F43" s="108" t="s">
        <v>554</v>
      </c>
      <c r="G43" s="96" t="s">
        <v>555</v>
      </c>
      <c r="H43" s="97" t="s">
        <v>497</v>
      </c>
      <c r="I43" s="645">
        <f>VLOOKUP($G43,'BD SuministroMontaje'!$A$1:$D$105,4,0)</f>
        <v>32.538105259684734</v>
      </c>
      <c r="J43" s="649">
        <f>+INT(J6-(Diametro*0.3048*Diametro*0.3048*PI()/4))</f>
        <v>251</v>
      </c>
      <c r="K43" s="646">
        <f t="shared" si="20"/>
        <v>8167.0644201808682</v>
      </c>
      <c r="L43" s="657">
        <v>0.3</v>
      </c>
      <c r="M43" s="657">
        <v>0</v>
      </c>
      <c r="N43" s="657">
        <v>0.5</v>
      </c>
      <c r="O43" s="657">
        <v>0.2</v>
      </c>
      <c r="P43" s="650">
        <f t="shared" si="21"/>
        <v>2649.1829415401016</v>
      </c>
      <c r="Q43" s="650">
        <f t="shared" si="22"/>
        <v>0</v>
      </c>
      <c r="R43" s="650">
        <f t="shared" si="23"/>
        <v>4276.4619357648762</v>
      </c>
      <c r="S43" s="650">
        <f t="shared" si="24"/>
        <v>1766.1219610267344</v>
      </c>
      <c r="T43" s="746">
        <f t="shared" si="25"/>
        <v>1</v>
      </c>
      <c r="U43" s="746"/>
      <c r="V43" s="746">
        <f t="shared" si="26"/>
        <v>1</v>
      </c>
      <c r="W43" s="752">
        <f t="shared" si="27"/>
        <v>1</v>
      </c>
      <c r="X43" s="761">
        <f t="shared" si="28"/>
        <v>2649.1829415401016</v>
      </c>
      <c r="Y43" s="762"/>
      <c r="Z43" s="762">
        <f t="shared" si="29"/>
        <v>4276.4619357648762</v>
      </c>
      <c r="AA43" s="763">
        <f t="shared" si="30"/>
        <v>1766.1219610267344</v>
      </c>
      <c r="AD43" s="741"/>
    </row>
    <row r="44" spans="1:30" outlineLevel="1">
      <c r="A44" s="615">
        <v>1</v>
      </c>
      <c r="B44" s="615">
        <v>1</v>
      </c>
      <c r="C44" s="615">
        <v>1</v>
      </c>
      <c r="D44" s="616">
        <f t="shared" si="19"/>
        <v>1</v>
      </c>
      <c r="E44" s="89" t="s">
        <v>526</v>
      </c>
      <c r="F44" s="108" t="s">
        <v>556</v>
      </c>
      <c r="G44" s="96" t="s">
        <v>557</v>
      </c>
      <c r="H44" s="97" t="s">
        <v>531</v>
      </c>
      <c r="I44" s="645">
        <f>VLOOKUP($G44,'BD SuministroMontaje'!$A$1:$D$105,4,0)</f>
        <v>325.38105259684733</v>
      </c>
      <c r="J44" s="649">
        <f>+INT(J41*0.1)</f>
        <v>2</v>
      </c>
      <c r="K44" s="646">
        <f t="shared" si="20"/>
        <v>650.76210519369465</v>
      </c>
      <c r="L44" s="657">
        <v>0.3</v>
      </c>
      <c r="M44" s="657">
        <v>0</v>
      </c>
      <c r="N44" s="657">
        <v>0.5</v>
      </c>
      <c r="O44" s="657">
        <v>0.2</v>
      </c>
      <c r="P44" s="650">
        <f t="shared" si="21"/>
        <v>211.09027422630291</v>
      </c>
      <c r="Q44" s="650">
        <f t="shared" si="22"/>
        <v>0</v>
      </c>
      <c r="R44" s="650">
        <f t="shared" si="23"/>
        <v>340.75393910477095</v>
      </c>
      <c r="S44" s="650">
        <f t="shared" si="24"/>
        <v>140.72684948420195</v>
      </c>
      <c r="T44" s="746">
        <f t="shared" si="25"/>
        <v>1</v>
      </c>
      <c r="U44" s="746"/>
      <c r="V44" s="746">
        <f t="shared" si="26"/>
        <v>1</v>
      </c>
      <c r="W44" s="752">
        <f t="shared" si="27"/>
        <v>1</v>
      </c>
      <c r="X44" s="761">
        <f t="shared" si="28"/>
        <v>211.09027422630291</v>
      </c>
      <c r="Y44" s="762"/>
      <c r="Z44" s="762">
        <f t="shared" si="29"/>
        <v>340.75393910477095</v>
      </c>
      <c r="AA44" s="763">
        <f t="shared" si="30"/>
        <v>140.72684948420195</v>
      </c>
      <c r="AD44" s="741"/>
    </row>
    <row r="45" spans="1:30" outlineLevel="1">
      <c r="A45" s="615">
        <v>1</v>
      </c>
      <c r="B45" s="615">
        <v>1</v>
      </c>
      <c r="C45" s="615">
        <v>1</v>
      </c>
      <c r="D45" s="616">
        <f t="shared" si="19"/>
        <v>1</v>
      </c>
      <c r="E45" s="89" t="s">
        <v>526</v>
      </c>
      <c r="F45" s="108" t="s">
        <v>558</v>
      </c>
      <c r="G45" s="96" t="s">
        <v>559</v>
      </c>
      <c r="H45" s="97" t="s">
        <v>515</v>
      </c>
      <c r="I45" s="645">
        <f>VLOOKUP($G45,'BD SuministroMontaje'!$A$1:$D$105,4,0)</f>
        <v>27.359512037920492</v>
      </c>
      <c r="J45" s="649">
        <f>+INT((SQRT(J6)*2.5))*1</f>
        <v>41</v>
      </c>
      <c r="K45" s="646">
        <f t="shared" si="20"/>
        <v>1121.7399935547401</v>
      </c>
      <c r="L45" s="657">
        <v>0.3</v>
      </c>
      <c r="M45" s="657">
        <v>0</v>
      </c>
      <c r="N45" s="657">
        <v>0.5</v>
      </c>
      <c r="O45" s="657">
        <v>0.2</v>
      </c>
      <c r="P45" s="650">
        <f t="shared" si="21"/>
        <v>363.86323198644601</v>
      </c>
      <c r="Q45" s="650">
        <f t="shared" si="22"/>
        <v>0</v>
      </c>
      <c r="R45" s="650">
        <f t="shared" si="23"/>
        <v>587.36874566684844</v>
      </c>
      <c r="S45" s="650">
        <f t="shared" si="24"/>
        <v>242.57548799096404</v>
      </c>
      <c r="T45" s="746">
        <f t="shared" si="25"/>
        <v>1</v>
      </c>
      <c r="U45" s="746"/>
      <c r="V45" s="746">
        <f t="shared" si="26"/>
        <v>1</v>
      </c>
      <c r="W45" s="752">
        <f t="shared" si="27"/>
        <v>1</v>
      </c>
      <c r="X45" s="761">
        <f t="shared" si="28"/>
        <v>363.86323198644601</v>
      </c>
      <c r="Y45" s="762"/>
      <c r="Z45" s="762">
        <f t="shared" si="29"/>
        <v>587.36874566684844</v>
      </c>
      <c r="AA45" s="763">
        <f t="shared" si="30"/>
        <v>242.57548799096404</v>
      </c>
      <c r="AD45" s="741"/>
    </row>
    <row r="46" spans="1:30" outlineLevel="1">
      <c r="A46" s="615">
        <v>1</v>
      </c>
      <c r="B46" s="615">
        <v>1</v>
      </c>
      <c r="C46" s="615">
        <v>1</v>
      </c>
      <c r="D46" s="616">
        <f t="shared" si="19"/>
        <v>1</v>
      </c>
      <c r="E46" s="89" t="s">
        <v>526</v>
      </c>
      <c r="F46" s="108" t="s">
        <v>560</v>
      </c>
      <c r="G46" s="96" t="s">
        <v>561</v>
      </c>
      <c r="H46" s="97" t="s">
        <v>531</v>
      </c>
      <c r="I46" s="645">
        <f>VLOOKUP($G46,'BD SuministroMontaje'!$A$1:$D$105,4,0)</f>
        <v>297.96297267192966</v>
      </c>
      <c r="J46" s="649">
        <f>+INT(SQRT(J6)*2.5*0.4*0.6)</f>
        <v>9</v>
      </c>
      <c r="K46" s="646">
        <f t="shared" si="20"/>
        <v>2681.6667540473668</v>
      </c>
      <c r="L46" s="657">
        <v>0.3</v>
      </c>
      <c r="M46" s="657">
        <v>0</v>
      </c>
      <c r="N46" s="657">
        <v>0.5</v>
      </c>
      <c r="O46" s="657">
        <v>0.2</v>
      </c>
      <c r="P46" s="650">
        <f t="shared" si="21"/>
        <v>869.86283616949459</v>
      </c>
      <c r="Q46" s="650">
        <f t="shared" si="22"/>
        <v>0</v>
      </c>
      <c r="R46" s="650">
        <f t="shared" si="23"/>
        <v>1404.182115883903</v>
      </c>
      <c r="S46" s="650">
        <f t="shared" si="24"/>
        <v>579.90855744632972</v>
      </c>
      <c r="T46" s="746">
        <f t="shared" si="25"/>
        <v>1</v>
      </c>
      <c r="U46" s="746"/>
      <c r="V46" s="746">
        <f t="shared" si="26"/>
        <v>1</v>
      </c>
      <c r="W46" s="752">
        <f t="shared" si="27"/>
        <v>1</v>
      </c>
      <c r="X46" s="761">
        <f t="shared" si="28"/>
        <v>869.86283616949459</v>
      </c>
      <c r="Y46" s="762"/>
      <c r="Z46" s="762">
        <f t="shared" si="29"/>
        <v>1404.182115883903</v>
      </c>
      <c r="AA46" s="763">
        <f t="shared" si="30"/>
        <v>579.90855744632972</v>
      </c>
      <c r="AD46" s="741"/>
    </row>
    <row r="47" spans="1:30" outlineLevel="1">
      <c r="A47" s="615">
        <v>1</v>
      </c>
      <c r="B47" s="615">
        <v>1</v>
      </c>
      <c r="C47" s="615">
        <v>1</v>
      </c>
      <c r="D47" s="616">
        <f t="shared" si="19"/>
        <v>1</v>
      </c>
      <c r="E47" s="89" t="s">
        <v>526</v>
      </c>
      <c r="F47" s="108" t="s">
        <v>562</v>
      </c>
      <c r="G47" s="96" t="s">
        <v>563</v>
      </c>
      <c r="H47" s="97" t="s">
        <v>513</v>
      </c>
      <c r="I47" s="645">
        <f>VLOOKUP($G47,'BD SuministroMontaje'!$A$1:$D$105,4,0)</f>
        <v>813.04206585277791</v>
      </c>
      <c r="J47" s="652">
        <f>ROUNDUP(FDCajaI*Diametro,0)</f>
        <v>1</v>
      </c>
      <c r="K47" s="646">
        <f t="shared" si="20"/>
        <v>813.04206585277791</v>
      </c>
      <c r="L47" s="657">
        <v>0.3</v>
      </c>
      <c r="M47" s="657">
        <v>0</v>
      </c>
      <c r="N47" s="657">
        <v>0.5</v>
      </c>
      <c r="O47" s="657">
        <v>0.2</v>
      </c>
      <c r="P47" s="650">
        <f t="shared" si="21"/>
        <v>263.72966598492957</v>
      </c>
      <c r="Q47" s="650">
        <f t="shared" si="22"/>
        <v>0</v>
      </c>
      <c r="R47" s="650">
        <f t="shared" si="23"/>
        <v>425.72744231127831</v>
      </c>
      <c r="S47" s="650">
        <f t="shared" si="24"/>
        <v>175.81977732328642</v>
      </c>
      <c r="T47" s="746">
        <f t="shared" si="25"/>
        <v>1</v>
      </c>
      <c r="U47" s="746"/>
      <c r="V47" s="746">
        <f t="shared" si="26"/>
        <v>1</v>
      </c>
      <c r="W47" s="752">
        <f t="shared" si="27"/>
        <v>1</v>
      </c>
      <c r="X47" s="761">
        <f t="shared" si="28"/>
        <v>263.72966598492957</v>
      </c>
      <c r="Y47" s="762"/>
      <c r="Z47" s="762">
        <f t="shared" si="29"/>
        <v>425.72744231127831</v>
      </c>
      <c r="AA47" s="763">
        <f t="shared" si="30"/>
        <v>175.81977732328642</v>
      </c>
      <c r="AD47" s="741"/>
    </row>
    <row r="48" spans="1:30" outlineLevel="1">
      <c r="A48" s="615">
        <v>1</v>
      </c>
      <c r="B48" s="615">
        <v>1</v>
      </c>
      <c r="C48" s="615">
        <v>1</v>
      </c>
      <c r="D48" s="616">
        <f t="shared" si="19"/>
        <v>1</v>
      </c>
      <c r="E48" s="89" t="s">
        <v>526</v>
      </c>
      <c r="F48" s="108" t="s">
        <v>564</v>
      </c>
      <c r="G48" s="96" t="s">
        <v>565</v>
      </c>
      <c r="H48" s="97" t="s">
        <v>513</v>
      </c>
      <c r="I48" s="645">
        <f>VLOOKUP($G48,'BD SuministroMontaje'!$A$1:$D$105,4,0)</f>
        <v>695.01162974922443</v>
      </c>
      <c r="J48" s="654">
        <v>1</v>
      </c>
      <c r="K48" s="646">
        <f t="shared" si="20"/>
        <v>695.01162974922443</v>
      </c>
      <c r="L48" s="657">
        <v>0.3</v>
      </c>
      <c r="M48" s="657">
        <v>0</v>
      </c>
      <c r="N48" s="657">
        <v>0.5</v>
      </c>
      <c r="O48" s="657">
        <v>0.2</v>
      </c>
      <c r="P48" s="650">
        <f t="shared" si="21"/>
        <v>225.44366726849628</v>
      </c>
      <c r="Q48" s="650">
        <f t="shared" si="22"/>
        <v>0</v>
      </c>
      <c r="R48" s="650">
        <f t="shared" si="23"/>
        <v>363.92400336553817</v>
      </c>
      <c r="S48" s="650">
        <f t="shared" si="24"/>
        <v>150.29577817899755</v>
      </c>
      <c r="T48" s="746">
        <f t="shared" si="25"/>
        <v>1</v>
      </c>
      <c r="U48" s="746"/>
      <c r="V48" s="746">
        <f t="shared" si="26"/>
        <v>1</v>
      </c>
      <c r="W48" s="752">
        <f t="shared" si="27"/>
        <v>1</v>
      </c>
      <c r="X48" s="761">
        <f t="shared" si="28"/>
        <v>225.44366726849628</v>
      </c>
      <c r="Y48" s="762"/>
      <c r="Z48" s="762">
        <f t="shared" si="29"/>
        <v>363.92400336553817</v>
      </c>
      <c r="AA48" s="763">
        <f t="shared" si="30"/>
        <v>150.29577817899755</v>
      </c>
      <c r="AD48" s="741"/>
    </row>
    <row r="49" spans="1:30" outlineLevel="1">
      <c r="A49" s="615">
        <v>1</v>
      </c>
      <c r="B49" s="615">
        <v>1</v>
      </c>
      <c r="C49" s="615">
        <v>1</v>
      </c>
      <c r="D49" s="616">
        <f t="shared" si="19"/>
        <v>1</v>
      </c>
      <c r="E49" s="89" t="s">
        <v>526</v>
      </c>
      <c r="F49" s="108" t="s">
        <v>566</v>
      </c>
      <c r="G49" s="96" t="s">
        <v>567</v>
      </c>
      <c r="H49" s="97" t="s">
        <v>531</v>
      </c>
      <c r="I49" s="645">
        <f>VLOOKUP($G49,'BD SuministroMontaje'!$A$1:$D$105,4,0)</f>
        <v>215.96429874214414</v>
      </c>
      <c r="J49" s="649">
        <f>+INT((Diametro*0.3048*PI()*1.2+SQRT(J6)*4*1.4+SQRT(J6)*5*0.4)*0.05)</f>
        <v>7</v>
      </c>
      <c r="K49" s="646">
        <f t="shared" si="20"/>
        <v>1511.750091195009</v>
      </c>
      <c r="L49" s="657">
        <v>0.3</v>
      </c>
      <c r="M49" s="657">
        <v>0</v>
      </c>
      <c r="N49" s="657">
        <v>0.5</v>
      </c>
      <c r="O49" s="657">
        <v>0.2</v>
      </c>
      <c r="P49" s="650">
        <f t="shared" si="21"/>
        <v>490.37234769072847</v>
      </c>
      <c r="Q49" s="650">
        <f t="shared" si="22"/>
        <v>0</v>
      </c>
      <c r="R49" s="650">
        <f t="shared" si="23"/>
        <v>791.58696304753312</v>
      </c>
      <c r="S49" s="650">
        <f t="shared" si="24"/>
        <v>326.91489846048569</v>
      </c>
      <c r="T49" s="746">
        <f t="shared" si="25"/>
        <v>1</v>
      </c>
      <c r="U49" s="746"/>
      <c r="V49" s="746">
        <f t="shared" si="26"/>
        <v>1</v>
      </c>
      <c r="W49" s="752">
        <f t="shared" si="27"/>
        <v>1</v>
      </c>
      <c r="X49" s="761">
        <f t="shared" si="28"/>
        <v>490.37234769072847</v>
      </c>
      <c r="Y49" s="762"/>
      <c r="Z49" s="762">
        <f t="shared" si="29"/>
        <v>791.58696304753312</v>
      </c>
      <c r="AA49" s="763">
        <f t="shared" si="30"/>
        <v>326.91489846048569</v>
      </c>
      <c r="AD49" s="741"/>
    </row>
    <row r="50" spans="1:30" outlineLevel="1">
      <c r="A50" s="615">
        <v>1</v>
      </c>
      <c r="B50" s="615">
        <v>1</v>
      </c>
      <c r="C50" s="615">
        <v>1</v>
      </c>
      <c r="D50" s="616">
        <f t="shared" si="19"/>
        <v>1</v>
      </c>
      <c r="E50" s="89" t="s">
        <v>526</v>
      </c>
      <c r="F50" s="108" t="s">
        <v>568</v>
      </c>
      <c r="G50" s="96" t="s">
        <v>569</v>
      </c>
      <c r="H50" s="97" t="s">
        <v>515</v>
      </c>
      <c r="I50" s="645">
        <f>VLOOKUP($G50,'BD SuministroMontaje'!$A$1:$D$105,4,0)</f>
        <v>13.89224512024022</v>
      </c>
      <c r="J50" s="649">
        <f>+INT(J43*0.833333333333333)</f>
        <v>209</v>
      </c>
      <c r="K50" s="646">
        <f t="shared" si="20"/>
        <v>2903.4792301302059</v>
      </c>
      <c r="L50" s="657">
        <v>0.3</v>
      </c>
      <c r="M50" s="657">
        <v>0</v>
      </c>
      <c r="N50" s="657">
        <v>0.5</v>
      </c>
      <c r="O50" s="657">
        <v>0.2</v>
      </c>
      <c r="P50" s="650">
        <f t="shared" si="21"/>
        <v>941.81302507793669</v>
      </c>
      <c r="Q50" s="650">
        <f t="shared" si="22"/>
        <v>0</v>
      </c>
      <c r="R50" s="650">
        <f t="shared" si="23"/>
        <v>1520.3282073120654</v>
      </c>
      <c r="S50" s="650">
        <f t="shared" si="24"/>
        <v>627.87535005195775</v>
      </c>
      <c r="T50" s="746">
        <f t="shared" si="25"/>
        <v>1</v>
      </c>
      <c r="U50" s="746"/>
      <c r="V50" s="746">
        <f t="shared" si="26"/>
        <v>1</v>
      </c>
      <c r="W50" s="752">
        <f t="shared" si="27"/>
        <v>1</v>
      </c>
      <c r="X50" s="761">
        <f t="shared" si="28"/>
        <v>941.81302507793669</v>
      </c>
      <c r="Y50" s="762"/>
      <c r="Z50" s="762">
        <f t="shared" si="29"/>
        <v>1520.3282073120654</v>
      </c>
      <c r="AA50" s="763">
        <f t="shared" si="30"/>
        <v>627.87535005195775</v>
      </c>
      <c r="AD50" s="741"/>
    </row>
    <row r="51" spans="1:30">
      <c r="A51" s="615">
        <v>1</v>
      </c>
      <c r="B51" s="615">
        <v>1</v>
      </c>
      <c r="C51" s="615">
        <v>1</v>
      </c>
      <c r="D51" s="616">
        <f t="shared" si="19"/>
        <v>1</v>
      </c>
      <c r="E51" s="89"/>
      <c r="F51" s="108">
        <v>4.4000000000000004</v>
      </c>
      <c r="G51" s="109" t="s">
        <v>570</v>
      </c>
      <c r="H51" s="110"/>
      <c r="I51" s="111"/>
      <c r="J51" s="111"/>
      <c r="K51" s="111"/>
      <c r="L51" s="112"/>
      <c r="M51" s="112"/>
      <c r="N51" s="112"/>
      <c r="O51" s="112"/>
      <c r="P51" s="113"/>
      <c r="Q51" s="113"/>
      <c r="R51" s="113"/>
      <c r="S51" s="113"/>
      <c r="T51" s="745"/>
      <c r="U51" s="745"/>
      <c r="V51" s="745"/>
      <c r="W51" s="751"/>
      <c r="X51" s="759"/>
      <c r="Y51" s="113"/>
      <c r="Z51" s="113"/>
      <c r="AA51" s="760"/>
      <c r="AD51" s="741"/>
    </row>
    <row r="52" spans="1:30" outlineLevel="1">
      <c r="A52" s="615">
        <v>1</v>
      </c>
      <c r="B52" s="615">
        <v>1</v>
      </c>
      <c r="C52" s="615">
        <v>1</v>
      </c>
      <c r="D52" s="616">
        <f t="shared" si="19"/>
        <v>1</v>
      </c>
      <c r="E52" s="89" t="s">
        <v>526</v>
      </c>
      <c r="F52" s="108" t="s">
        <v>571</v>
      </c>
      <c r="G52" s="96" t="s">
        <v>572</v>
      </c>
      <c r="H52" s="97" t="s">
        <v>504</v>
      </c>
      <c r="I52" s="645">
        <f>VLOOKUP($G52,'BD SuministroMontaje'!$A$1:$D$105,4,0)</f>
        <v>1.9185870915276071</v>
      </c>
      <c r="J52" s="649">
        <f>+INT((J41*160+J42*120+J44*100+J47*140+J48*200))</f>
        <v>14500</v>
      </c>
      <c r="K52" s="646">
        <f>I52*J52</f>
        <v>27819.512827150302</v>
      </c>
      <c r="L52" s="657">
        <v>0.5</v>
      </c>
      <c r="M52" s="657">
        <v>0</v>
      </c>
      <c r="N52" s="657">
        <v>0.45</v>
      </c>
      <c r="O52" s="657">
        <v>0.05</v>
      </c>
      <c r="P52" s="650">
        <f t="shared" ref="P52:P53" si="31">X52*T52</f>
        <v>15039.875413400678</v>
      </c>
      <c r="Q52" s="650">
        <f t="shared" ref="Q52:Q53" si="32">Y52*U52</f>
        <v>0</v>
      </c>
      <c r="R52" s="650">
        <f t="shared" ref="R52:R53" si="33">Z52*V52</f>
        <v>13110.240522233649</v>
      </c>
      <c r="S52" s="650">
        <f t="shared" ref="S52:S53" si="34">AA52*W52</f>
        <v>1503.9875413400678</v>
      </c>
      <c r="T52" s="746">
        <f>fac_iObraCivil</f>
        <v>1</v>
      </c>
      <c r="U52" s="746"/>
      <c r="V52" s="746">
        <f>fac_mano_obra</f>
        <v>1</v>
      </c>
      <c r="W52" s="752">
        <f>fac_iObraCivil</f>
        <v>1</v>
      </c>
      <c r="X52" s="761">
        <f>$K52*L52*$D52*1.0812464982293</f>
        <v>15039.875413400678</v>
      </c>
      <c r="Y52" s="762"/>
      <c r="Z52" s="762">
        <f>$K52*N52*$D52*1.04724579500015</f>
        <v>13110.240522233649</v>
      </c>
      <c r="AA52" s="763">
        <f>$K52*O52*$D52*1.0812464982293</f>
        <v>1503.9875413400678</v>
      </c>
      <c r="AD52" s="741"/>
    </row>
    <row r="53" spans="1:30" outlineLevel="1">
      <c r="A53" s="615">
        <v>1</v>
      </c>
      <c r="B53" s="615">
        <v>1</v>
      </c>
      <c r="C53" s="615">
        <v>1</v>
      </c>
      <c r="D53" s="616">
        <f t="shared" si="19"/>
        <v>1</v>
      </c>
      <c r="E53" s="89" t="s">
        <v>526</v>
      </c>
      <c r="F53" s="108" t="s">
        <v>573</v>
      </c>
      <c r="G53" s="96" t="s">
        <v>574</v>
      </c>
      <c r="H53" s="97" t="s">
        <v>504</v>
      </c>
      <c r="I53" s="645">
        <f>VLOOKUP($G53,'BD SuministroMontaje'!$A$1:$D$105,4,0)</f>
        <v>2.0503159367731771</v>
      </c>
      <c r="J53" s="793">
        <f>+INT((J43+J45*1.2)*VLOOKUP(Capacidad,Regresiones!A58:B62,2,1))</f>
        <v>918</v>
      </c>
      <c r="K53" s="646">
        <f>I53*J53</f>
        <v>1882.1900299577767</v>
      </c>
      <c r="L53" s="657">
        <v>0.5</v>
      </c>
      <c r="M53" s="657">
        <v>0</v>
      </c>
      <c r="N53" s="657">
        <v>0.45</v>
      </c>
      <c r="O53" s="657">
        <v>0.05</v>
      </c>
      <c r="P53" s="650">
        <f t="shared" si="31"/>
        <v>1017.5556894469736</v>
      </c>
      <c r="Q53" s="650">
        <f t="shared" si="32"/>
        <v>0</v>
      </c>
      <c r="R53" s="650">
        <f t="shared" si="33"/>
        <v>887.00201741901958</v>
      </c>
      <c r="S53" s="650">
        <f t="shared" si="34"/>
        <v>101.75556894469737</v>
      </c>
      <c r="T53" s="746">
        <f>fac_iObraCivil</f>
        <v>1</v>
      </c>
      <c r="U53" s="746"/>
      <c r="V53" s="746">
        <f>fac_mano_obra</f>
        <v>1</v>
      </c>
      <c r="W53" s="752">
        <f>fac_iObraCivil</f>
        <v>1</v>
      </c>
      <c r="X53" s="761">
        <f>$K53*L53*$D53*1.0812464982293</f>
        <v>1017.5556894469736</v>
      </c>
      <c r="Y53" s="762"/>
      <c r="Z53" s="762">
        <f>$K53*N53*$D53*1.04724579500015</f>
        <v>887.00201741901958</v>
      </c>
      <c r="AA53" s="763">
        <f>$K53*O53*$D53*1.0812464982293</f>
        <v>101.75556894469737</v>
      </c>
      <c r="AD53" s="741"/>
    </row>
    <row r="54" spans="1:30">
      <c r="A54" s="615">
        <v>1</v>
      </c>
      <c r="B54" s="615">
        <v>1</v>
      </c>
      <c r="C54" s="615">
        <v>1</v>
      </c>
      <c r="D54" s="616">
        <f t="shared" si="19"/>
        <v>1</v>
      </c>
      <c r="E54" s="89"/>
      <c r="F54" s="108">
        <v>4.5</v>
      </c>
      <c r="G54" s="109" t="s">
        <v>575</v>
      </c>
      <c r="H54" s="110"/>
      <c r="I54" s="111"/>
      <c r="J54" s="114"/>
      <c r="K54" s="111"/>
      <c r="L54" s="112"/>
      <c r="M54" s="112"/>
      <c r="N54" s="112"/>
      <c r="O54" s="112"/>
      <c r="P54" s="113"/>
      <c r="Q54" s="113"/>
      <c r="R54" s="113"/>
      <c r="S54" s="113"/>
      <c r="T54" s="745"/>
      <c r="U54" s="745"/>
      <c r="V54" s="745"/>
      <c r="W54" s="751"/>
      <c r="X54" s="759"/>
      <c r="Y54" s="113"/>
      <c r="Z54" s="113"/>
      <c r="AA54" s="760"/>
      <c r="AD54" s="741"/>
    </row>
    <row r="55" spans="1:30" outlineLevel="1">
      <c r="A55" s="615">
        <v>1</v>
      </c>
      <c r="B55" s="615">
        <v>1</v>
      </c>
      <c r="C55" s="615">
        <v>1</v>
      </c>
      <c r="D55" s="616">
        <f t="shared" si="19"/>
        <v>1</v>
      </c>
      <c r="E55" s="89" t="s">
        <v>526</v>
      </c>
      <c r="F55" s="108" t="s">
        <v>576</v>
      </c>
      <c r="G55" s="96" t="s">
        <v>577</v>
      </c>
      <c r="H55" s="97" t="s">
        <v>504</v>
      </c>
      <c r="I55" s="645">
        <f>VLOOKUP($G55,'BD SuministroMontaje'!$A$1:$D$105,4,0)</f>
        <v>5.882233846699549</v>
      </c>
      <c r="J55" s="649">
        <f>FDEsc*Diametro</f>
        <v>313.88888888833338</v>
      </c>
      <c r="K55" s="646">
        <f>I55*J55</f>
        <v>1846.3678463218687</v>
      </c>
      <c r="L55" s="657">
        <v>0.35</v>
      </c>
      <c r="M55" s="657">
        <v>0</v>
      </c>
      <c r="N55" s="657">
        <v>0.35</v>
      </c>
      <c r="O55" s="657">
        <v>0.3</v>
      </c>
      <c r="P55" s="650">
        <f>X55*T55</f>
        <v>698.73256889754305</v>
      </c>
      <c r="Q55" s="650">
        <f t="shared" ref="Q55" si="35">Y55*U55</f>
        <v>0</v>
      </c>
      <c r="R55" s="650">
        <f t="shared" ref="R55" si="36">Z55*V55</f>
        <v>676.76033707942088</v>
      </c>
      <c r="S55" s="650">
        <f t="shared" ref="S55" si="37">AA55*W55</f>
        <v>598.91363048360836</v>
      </c>
      <c r="T55" s="746">
        <f>fac_iObraCivil</f>
        <v>1</v>
      </c>
      <c r="U55" s="746"/>
      <c r="V55" s="746">
        <f>fac_mano_obra</f>
        <v>1</v>
      </c>
      <c r="W55" s="752">
        <f>fac_iObraCivil</f>
        <v>1</v>
      </c>
      <c r="X55" s="761">
        <f>$K55*L55*$D55*1.0812464982293</f>
        <v>698.73256889754305</v>
      </c>
      <c r="Y55" s="762"/>
      <c r="Z55" s="762">
        <f>$K55*N55*$D55*1.04724579500015</f>
        <v>676.76033707942088</v>
      </c>
      <c r="AA55" s="763">
        <f>$K55*O55*$D55*1.0812464982293</f>
        <v>598.91363048360836</v>
      </c>
      <c r="AD55" s="741"/>
    </row>
    <row r="56" spans="1:30">
      <c r="A56" s="615">
        <v>1</v>
      </c>
      <c r="B56" s="615">
        <v>1</v>
      </c>
      <c r="C56" s="615">
        <v>1</v>
      </c>
      <c r="D56" s="616">
        <f t="shared" si="19"/>
        <v>1</v>
      </c>
      <c r="E56" s="89"/>
      <c r="F56" s="108">
        <v>4.5999999999999996</v>
      </c>
      <c r="G56" s="109" t="s">
        <v>578</v>
      </c>
      <c r="H56" s="110"/>
      <c r="I56" s="111"/>
      <c r="J56" s="115"/>
      <c r="K56" s="111"/>
      <c r="L56" s="112"/>
      <c r="M56" s="112"/>
      <c r="N56" s="112"/>
      <c r="O56" s="112"/>
      <c r="P56" s="113"/>
      <c r="Q56" s="113"/>
      <c r="R56" s="113"/>
      <c r="S56" s="113"/>
      <c r="T56" s="745"/>
      <c r="U56" s="745"/>
      <c r="V56" s="745"/>
      <c r="W56" s="751"/>
      <c r="X56" s="759"/>
      <c r="Y56" s="113"/>
      <c r="Z56" s="113"/>
      <c r="AA56" s="760"/>
      <c r="AD56" s="741"/>
    </row>
    <row r="57" spans="1:30" outlineLevel="1">
      <c r="A57" s="615">
        <v>1</v>
      </c>
      <c r="B57" s="615">
        <v>1</v>
      </c>
      <c r="C57" s="615">
        <v>1</v>
      </c>
      <c r="D57" s="616">
        <f t="shared" si="19"/>
        <v>1</v>
      </c>
      <c r="E57" s="89" t="s">
        <v>526</v>
      </c>
      <c r="F57" s="108" t="s">
        <v>579</v>
      </c>
      <c r="G57" s="96" t="s">
        <v>580</v>
      </c>
      <c r="H57" s="97" t="s">
        <v>497</v>
      </c>
      <c r="I57" s="645">
        <f>VLOOKUP($G57,'BD SuministroMontaje'!$A$1:$D$105,4,0)</f>
        <v>7.114118076211807</v>
      </c>
      <c r="J57" s="649">
        <f>+INT((Diametro*0.3048+2)*(Diametro*0.3048+2)*PI()/4)</f>
        <v>47</v>
      </c>
      <c r="K57" s="646">
        <f>I57*J57</f>
        <v>334.36354958195494</v>
      </c>
      <c r="L57" s="657">
        <v>0.45</v>
      </c>
      <c r="M57" s="657">
        <v>0</v>
      </c>
      <c r="N57" s="657">
        <v>0.4</v>
      </c>
      <c r="O57" s="657">
        <v>0.15</v>
      </c>
      <c r="P57" s="650">
        <f t="shared" ref="P57:P58" si="38">X57*T57</f>
        <v>162.68823770445348</v>
      </c>
      <c r="Q57" s="650">
        <f t="shared" ref="Q57:Q58" si="39">Y57*U57</f>
        <v>0</v>
      </c>
      <c r="R57" s="650">
        <f t="shared" ref="R57:R58" si="40">Z57*V57</f>
        <v>140.06432852041058</v>
      </c>
      <c r="S57" s="650">
        <f t="shared" ref="S57:S58" si="41">AA57*W57</f>
        <v>54.229412568151155</v>
      </c>
      <c r="T57" s="746">
        <f>fac_iObraCivil</f>
        <v>1</v>
      </c>
      <c r="U57" s="746"/>
      <c r="V57" s="746">
        <f>fac_mano_obra</f>
        <v>1</v>
      </c>
      <c r="W57" s="752">
        <f>fac_iObraCivil</f>
        <v>1</v>
      </c>
      <c r="X57" s="761">
        <f>$K57*L57*$D57*1.0812464982293</f>
        <v>162.68823770445348</v>
      </c>
      <c r="Y57" s="762"/>
      <c r="Z57" s="762">
        <f>$K57*N57*$D57*1.04724579500015</f>
        <v>140.06432852041058</v>
      </c>
      <c r="AA57" s="763">
        <f>$K57*O57*$D57*1.0812464982293</f>
        <v>54.229412568151155</v>
      </c>
      <c r="AD57" s="741"/>
    </row>
    <row r="58" spans="1:30" outlineLevel="1">
      <c r="A58" s="615">
        <v>1</v>
      </c>
      <c r="B58" s="615">
        <v>1</v>
      </c>
      <c r="C58" s="615">
        <v>1</v>
      </c>
      <c r="D58" s="616">
        <f t="shared" si="19"/>
        <v>1</v>
      </c>
      <c r="E58" s="89" t="s">
        <v>526</v>
      </c>
      <c r="F58" s="108" t="s">
        <v>581</v>
      </c>
      <c r="G58" s="96" t="s">
        <v>582</v>
      </c>
      <c r="H58" s="97" t="s">
        <v>497</v>
      </c>
      <c r="I58" s="645">
        <f>VLOOKUP($G58,'BD SuministroMontaje'!$A$1:$D$105,4,0)</f>
        <v>1.9055673418424484</v>
      </c>
      <c r="J58" s="649">
        <f>+J57</f>
        <v>47</v>
      </c>
      <c r="K58" s="646">
        <f>I58*J58</f>
        <v>89.561665066595069</v>
      </c>
      <c r="L58" s="657">
        <v>0.45</v>
      </c>
      <c r="M58" s="657">
        <v>0</v>
      </c>
      <c r="N58" s="657">
        <v>0.4</v>
      </c>
      <c r="O58" s="657">
        <v>0.15</v>
      </c>
      <c r="P58" s="650">
        <f t="shared" si="38"/>
        <v>43.57720652797861</v>
      </c>
      <c r="Q58" s="650">
        <f t="shared" si="39"/>
        <v>0</v>
      </c>
      <c r="R58" s="650">
        <f t="shared" si="40"/>
        <v>37.517230853681404</v>
      </c>
      <c r="S58" s="650">
        <f t="shared" si="41"/>
        <v>14.525735509326202</v>
      </c>
      <c r="T58" s="746">
        <f>fac_iObraCivil</f>
        <v>1</v>
      </c>
      <c r="U58" s="746"/>
      <c r="V58" s="746">
        <f>fac_mano_obra</f>
        <v>1</v>
      </c>
      <c r="W58" s="752">
        <f>fac_iObraCivil</f>
        <v>1</v>
      </c>
      <c r="X58" s="761">
        <f>$K58*L58*$D58*1.0812464982293</f>
        <v>43.57720652797861</v>
      </c>
      <c r="Y58" s="762"/>
      <c r="Z58" s="762">
        <f>$K58*N58*$D58*1.04724579500015</f>
        <v>37.517230853681404</v>
      </c>
      <c r="AA58" s="763">
        <f>$K58*O58*$D58*1.0812464982293</f>
        <v>14.525735509326202</v>
      </c>
      <c r="AD58" s="741"/>
    </row>
    <row r="59" spans="1:30">
      <c r="A59" s="615">
        <v>1</v>
      </c>
      <c r="B59" s="615">
        <v>1</v>
      </c>
      <c r="C59" s="615">
        <v>1</v>
      </c>
      <c r="D59" s="616">
        <f t="shared" si="19"/>
        <v>1</v>
      </c>
      <c r="E59" s="89"/>
      <c r="F59" s="100">
        <v>5</v>
      </c>
      <c r="G59" s="91" t="s">
        <v>583</v>
      </c>
      <c r="H59" s="90"/>
      <c r="I59" s="116"/>
      <c r="J59" s="93"/>
      <c r="K59" s="93"/>
      <c r="L59" s="94"/>
      <c r="M59" s="94"/>
      <c r="N59" s="94"/>
      <c r="O59" s="94"/>
      <c r="P59" s="94"/>
      <c r="Q59" s="94"/>
      <c r="R59" s="94"/>
      <c r="S59" s="94"/>
      <c r="T59" s="744"/>
      <c r="U59" s="744"/>
      <c r="V59" s="744"/>
      <c r="W59" s="750"/>
      <c r="X59" s="757"/>
      <c r="Y59" s="94"/>
      <c r="Z59" s="94"/>
      <c r="AA59" s="758"/>
      <c r="AD59" s="741"/>
    </row>
    <row r="60" spans="1:30" outlineLevel="1">
      <c r="A60" s="615">
        <v>1</v>
      </c>
      <c r="B60" s="615">
        <v>1</v>
      </c>
      <c r="C60" s="615">
        <v>1</v>
      </c>
      <c r="D60" s="616">
        <f t="shared" si="19"/>
        <v>1</v>
      </c>
      <c r="E60" s="89" t="s">
        <v>526</v>
      </c>
      <c r="F60" s="95">
        <v>5.0999999999999996</v>
      </c>
      <c r="G60" s="96" t="s">
        <v>584</v>
      </c>
      <c r="H60" s="97" t="s">
        <v>504</v>
      </c>
      <c r="I60" s="645">
        <f>VLOOKUP($G60,'BD SuministroMontaje'!$A$1:$D$105,4,0)</f>
        <v>5.1117680582267138</v>
      </c>
      <c r="J60" s="649">
        <f ca="1">+J9+J10+J11+J12+J13</f>
        <v>22751.68848814454</v>
      </c>
      <c r="K60" s="646">
        <f ca="1">I60*J60</f>
        <v>116301.3544844217</v>
      </c>
      <c r="L60" s="98">
        <v>0.12</v>
      </c>
      <c r="M60" s="98">
        <v>0</v>
      </c>
      <c r="N60" s="98">
        <v>0.53</v>
      </c>
      <c r="O60" s="98">
        <v>0.35</v>
      </c>
      <c r="P60" s="650">
        <f ca="1">X60*T60</f>
        <v>15765.72832708402</v>
      </c>
      <c r="Q60" s="650">
        <f t="shared" ref="Q60:Q74" si="42">Y60*U60</f>
        <v>0</v>
      </c>
      <c r="R60" s="650">
        <f ca="1">Z60*V60</f>
        <v>64551.935351415203</v>
      </c>
      <c r="S60" s="650">
        <f ca="1">AA60*W60</f>
        <v>44012.651296461903</v>
      </c>
      <c r="T60" s="743">
        <f t="shared" ref="T60:T74" si="43">(ipc/ipc_base)*(trm_base/trm_calculo)</f>
        <v>1</v>
      </c>
      <c r="U60" s="743"/>
      <c r="V60" s="743">
        <f>fac_mano_obra</f>
        <v>1</v>
      </c>
      <c r="W60" s="749">
        <f>fac_iObraCivil</f>
        <v>1</v>
      </c>
      <c r="X60" s="761">
        <f t="shared" ref="X60:X74" ca="1" si="44">$K60*L60*$D60*1.12966069892131</f>
        <v>15765.72832708402</v>
      </c>
      <c r="Y60" s="762"/>
      <c r="Z60" s="762">
        <f t="shared" ref="Z60:Z74" ca="1" si="45">$K60*N60*$D60*1.04724579500015</f>
        <v>64551.935351415203</v>
      </c>
      <c r="AA60" s="763">
        <f t="shared" ref="AA60:AA74" ca="1" si="46">$K60*O60*$D60*1.0812464982293</f>
        <v>44012.651296461903</v>
      </c>
      <c r="AD60" s="741"/>
    </row>
    <row r="61" spans="1:30" outlineLevel="1">
      <c r="A61" s="615">
        <v>1</v>
      </c>
      <c r="B61" s="615">
        <v>0</v>
      </c>
      <c r="C61" s="615">
        <v>0</v>
      </c>
      <c r="D61" s="616">
        <f t="shared" si="19"/>
        <v>0</v>
      </c>
      <c r="E61" s="89" t="s">
        <v>526</v>
      </c>
      <c r="F61" s="101" t="s">
        <v>585</v>
      </c>
      <c r="G61" s="96" t="s">
        <v>586</v>
      </c>
      <c r="H61" s="97" t="s">
        <v>497</v>
      </c>
      <c r="I61" s="802">
        <f>+K61/J61</f>
        <v>201.49006829533872</v>
      </c>
      <c r="J61" s="647">
        <f>IF(ConMembrana="SI",(Diametro*Diametro*PI()*0.3048*0.3048/4),0)</f>
        <v>25.880591202292184</v>
      </c>
      <c r="K61" s="648">
        <f>(Regresiones!C15 * 'Costo Tanque'!J61 ^ Regresiones!C14)/trm_ref</f>
        <v>5214.6820888735947</v>
      </c>
      <c r="L61" s="98">
        <v>0.05</v>
      </c>
      <c r="M61" s="98">
        <v>0</v>
      </c>
      <c r="N61" s="98">
        <v>0.8</v>
      </c>
      <c r="O61" s="98">
        <v>0.15</v>
      </c>
      <c r="P61" s="650">
        <f t="shared" ref="P61:P74" si="47">X61*T61</f>
        <v>0</v>
      </c>
      <c r="Q61" s="650">
        <f t="shared" si="42"/>
        <v>0</v>
      </c>
      <c r="R61" s="650">
        <f t="shared" ref="R61:R74" si="48">Z61*V61</f>
        <v>0</v>
      </c>
      <c r="S61" s="650">
        <f t="shared" ref="S61:S74" si="49">AA61*W61</f>
        <v>0</v>
      </c>
      <c r="T61" s="743">
        <f t="shared" si="43"/>
        <v>1</v>
      </c>
      <c r="U61" s="743"/>
      <c r="V61" s="743">
        <f>fac_mano_obra</f>
        <v>1</v>
      </c>
      <c r="W61" s="749">
        <f>fac_iObraCivil</f>
        <v>1</v>
      </c>
      <c r="X61" s="761">
        <f t="shared" si="44"/>
        <v>0</v>
      </c>
      <c r="Y61" s="762"/>
      <c r="Z61" s="762">
        <f t="shared" si="45"/>
        <v>0</v>
      </c>
      <c r="AA61" s="763">
        <f t="shared" si="46"/>
        <v>0</v>
      </c>
      <c r="AD61" s="741"/>
    </row>
    <row r="62" spans="1:30" outlineLevel="1">
      <c r="A62" s="615">
        <v>1</v>
      </c>
      <c r="B62" s="615">
        <v>0</v>
      </c>
      <c r="C62" s="615">
        <v>0</v>
      </c>
      <c r="D62" s="616">
        <f t="shared" si="19"/>
        <v>0</v>
      </c>
      <c r="E62" s="89" t="s">
        <v>526</v>
      </c>
      <c r="F62" s="101"/>
      <c r="G62" s="96" t="s">
        <v>587</v>
      </c>
      <c r="H62" s="97" t="s">
        <v>497</v>
      </c>
      <c r="I62" s="802">
        <f>+K62/J62</f>
        <v>141.04304780673709</v>
      </c>
      <c r="J62" s="647">
        <f>IF(ConMembrana="SI",(Diametro*Diametro*PI()*0.3048*0.3048/4),0)</f>
        <v>25.880591202292184</v>
      </c>
      <c r="K62" s="648">
        <f>K61*0.7</f>
        <v>3650.2774622115162</v>
      </c>
      <c r="L62" s="98">
        <v>0.05</v>
      </c>
      <c r="M62" s="98">
        <v>0</v>
      </c>
      <c r="N62" s="98">
        <v>0.8</v>
      </c>
      <c r="O62" s="98">
        <v>0.15</v>
      </c>
      <c r="P62" s="650">
        <f t="shared" si="47"/>
        <v>0</v>
      </c>
      <c r="Q62" s="650">
        <f t="shared" si="42"/>
        <v>0</v>
      </c>
      <c r="R62" s="650">
        <f t="shared" si="48"/>
        <v>0</v>
      </c>
      <c r="S62" s="650">
        <f t="shared" si="49"/>
        <v>0</v>
      </c>
      <c r="T62" s="743">
        <f t="shared" si="43"/>
        <v>1</v>
      </c>
      <c r="U62" s="743"/>
      <c r="V62" s="743">
        <f>fac_mano_obra</f>
        <v>1</v>
      </c>
      <c r="W62" s="749">
        <f>fac_iObraCivil</f>
        <v>1</v>
      </c>
      <c r="X62" s="761">
        <f t="shared" si="44"/>
        <v>0</v>
      </c>
      <c r="Y62" s="762"/>
      <c r="Z62" s="762">
        <f t="shared" si="45"/>
        <v>0</v>
      </c>
      <c r="AA62" s="763">
        <f t="shared" si="46"/>
        <v>0</v>
      </c>
      <c r="AD62" s="741"/>
    </row>
    <row r="63" spans="1:30" outlineLevel="1">
      <c r="A63" s="615">
        <v>0</v>
      </c>
      <c r="B63" s="615">
        <v>1</v>
      </c>
      <c r="C63" s="615">
        <v>0</v>
      </c>
      <c r="D63" s="616">
        <f t="shared" si="19"/>
        <v>1</v>
      </c>
      <c r="E63" s="89" t="s">
        <v>526</v>
      </c>
      <c r="F63" s="117" t="s">
        <v>585</v>
      </c>
      <c r="G63" s="96" t="s">
        <v>588</v>
      </c>
      <c r="H63" s="97" t="s">
        <v>515</v>
      </c>
      <c r="I63" s="645">
        <f>VLOOKUP($G63,'BD SuministroMontaje'!$A$1:$D$105,4,0)</f>
        <v>72.411558990013035</v>
      </c>
      <c r="J63" s="649">
        <f>+Diametro*PI()*0.3048</f>
        <v>18.03399846863493</v>
      </c>
      <c r="K63" s="646">
        <f t="shared" ref="K63:K74" si="50">I63*J63</f>
        <v>1305.8699439373629</v>
      </c>
      <c r="L63" s="657">
        <v>0.12</v>
      </c>
      <c r="M63" s="657">
        <v>0</v>
      </c>
      <c r="N63" s="657">
        <v>0.53</v>
      </c>
      <c r="O63" s="657">
        <v>0.35</v>
      </c>
      <c r="P63" s="650">
        <f t="shared" si="47"/>
        <v>177.0227944282336</v>
      </c>
      <c r="Q63" s="650">
        <f t="shared" si="42"/>
        <v>0</v>
      </c>
      <c r="R63" s="650">
        <f t="shared" si="48"/>
        <v>724.81040803090696</v>
      </c>
      <c r="S63" s="650">
        <f t="shared" si="49"/>
        <v>494.18855640880798</v>
      </c>
      <c r="T63" s="743">
        <f t="shared" si="43"/>
        <v>1</v>
      </c>
      <c r="U63" s="743"/>
      <c r="V63" s="743">
        <f t="shared" ref="V63:V73" si="51">fac_mano_obra</f>
        <v>1</v>
      </c>
      <c r="W63" s="749">
        <f t="shared" ref="W63:W73" si="52">fac_iObraCivil</f>
        <v>1</v>
      </c>
      <c r="X63" s="761">
        <f t="shared" si="44"/>
        <v>177.0227944282336</v>
      </c>
      <c r="Y63" s="762"/>
      <c r="Z63" s="762">
        <f t="shared" si="45"/>
        <v>724.81040803090696</v>
      </c>
      <c r="AA63" s="763">
        <f t="shared" si="46"/>
        <v>494.18855640880798</v>
      </c>
      <c r="AD63" s="741"/>
    </row>
    <row r="64" spans="1:30" outlineLevel="1">
      <c r="A64" s="615">
        <v>0</v>
      </c>
      <c r="B64" s="615">
        <v>1</v>
      </c>
      <c r="C64" s="615">
        <v>0</v>
      </c>
      <c r="D64" s="616">
        <f t="shared" si="19"/>
        <v>1</v>
      </c>
      <c r="E64" s="89" t="s">
        <v>526</v>
      </c>
      <c r="F64" s="103" t="s">
        <v>589</v>
      </c>
      <c r="G64" s="96" t="s">
        <v>590</v>
      </c>
      <c r="H64" s="97" t="s">
        <v>513</v>
      </c>
      <c r="I64" s="645">
        <f>VLOOKUP($G64,'BD SuministroMontaje'!$A$1:$D$105,4,0)</f>
        <v>88.926475952647593</v>
      </c>
      <c r="J64" s="793">
        <f>+J20</f>
        <v>1</v>
      </c>
      <c r="K64" s="646">
        <f t="shared" si="50"/>
        <v>88.926475952647593</v>
      </c>
      <c r="L64" s="657">
        <v>0.12</v>
      </c>
      <c r="M64" s="657">
        <v>0</v>
      </c>
      <c r="N64" s="657">
        <v>0.53</v>
      </c>
      <c r="O64" s="657">
        <v>0.35</v>
      </c>
      <c r="P64" s="650">
        <f t="shared" si="47"/>
        <v>12.054809397273234</v>
      </c>
      <c r="Q64" s="650">
        <f t="shared" si="42"/>
        <v>0</v>
      </c>
      <c r="R64" s="650">
        <f t="shared" si="48"/>
        <v>49.357775342963834</v>
      </c>
      <c r="S64" s="650">
        <f t="shared" si="49"/>
        <v>33.653004253285289</v>
      </c>
      <c r="T64" s="743">
        <f t="shared" si="43"/>
        <v>1</v>
      </c>
      <c r="U64" s="743"/>
      <c r="V64" s="743">
        <f t="shared" si="51"/>
        <v>1</v>
      </c>
      <c r="W64" s="749">
        <f t="shared" si="52"/>
        <v>1</v>
      </c>
      <c r="X64" s="761">
        <f t="shared" si="44"/>
        <v>12.054809397273234</v>
      </c>
      <c r="Y64" s="762"/>
      <c r="Z64" s="762">
        <f t="shared" si="45"/>
        <v>49.357775342963834</v>
      </c>
      <c r="AA64" s="763">
        <f t="shared" si="46"/>
        <v>33.653004253285289</v>
      </c>
      <c r="AD64" s="741"/>
    </row>
    <row r="65" spans="1:30" outlineLevel="1">
      <c r="A65" s="615">
        <v>0</v>
      </c>
      <c r="B65" s="615">
        <v>1</v>
      </c>
      <c r="C65" s="615">
        <v>0</v>
      </c>
      <c r="D65" s="616">
        <f t="shared" si="19"/>
        <v>1</v>
      </c>
      <c r="E65" s="89" t="s">
        <v>526</v>
      </c>
      <c r="F65" s="103" t="s">
        <v>591</v>
      </c>
      <c r="G65" s="96" t="s">
        <v>592</v>
      </c>
      <c r="H65" s="97" t="s">
        <v>513</v>
      </c>
      <c r="I65" s="645">
        <f>VLOOKUP($G65,'BD SuministroMontaje'!$A$1:$D$105,4,0)</f>
        <v>953.4020367263015</v>
      </c>
      <c r="J65" s="797">
        <f>J22</f>
        <v>1</v>
      </c>
      <c r="K65" s="646">
        <f t="shared" si="50"/>
        <v>953.4020367263015</v>
      </c>
      <c r="L65" s="657">
        <v>0.12</v>
      </c>
      <c r="M65" s="657">
        <v>0</v>
      </c>
      <c r="N65" s="657">
        <v>0.53</v>
      </c>
      <c r="O65" s="657">
        <v>0.35</v>
      </c>
      <c r="P65" s="650">
        <f t="shared" si="47"/>
        <v>129.24249733934812</v>
      </c>
      <c r="Q65" s="650">
        <f t="shared" si="42"/>
        <v>0</v>
      </c>
      <c r="R65" s="650">
        <f t="shared" si="48"/>
        <v>529.17652517028478</v>
      </c>
      <c r="S65" s="650">
        <f t="shared" si="49"/>
        <v>360.80191476524857</v>
      </c>
      <c r="T65" s="743">
        <f t="shared" si="43"/>
        <v>1</v>
      </c>
      <c r="U65" s="743"/>
      <c r="V65" s="743">
        <f t="shared" si="51"/>
        <v>1</v>
      </c>
      <c r="W65" s="749">
        <f t="shared" si="52"/>
        <v>1</v>
      </c>
      <c r="X65" s="761">
        <f t="shared" si="44"/>
        <v>129.24249733934812</v>
      </c>
      <c r="Y65" s="762"/>
      <c r="Z65" s="762">
        <f t="shared" si="45"/>
        <v>529.17652517028478</v>
      </c>
      <c r="AA65" s="763">
        <f t="shared" si="46"/>
        <v>360.80191476524857</v>
      </c>
      <c r="AD65" s="741"/>
    </row>
    <row r="66" spans="1:30" outlineLevel="1">
      <c r="A66" s="615">
        <v>0</v>
      </c>
      <c r="B66" s="615">
        <v>1</v>
      </c>
      <c r="C66" s="615">
        <v>0</v>
      </c>
      <c r="D66" s="616">
        <f t="shared" si="19"/>
        <v>1</v>
      </c>
      <c r="E66" s="89" t="s">
        <v>526</v>
      </c>
      <c r="F66" s="103" t="s">
        <v>593</v>
      </c>
      <c r="G66" s="96" t="s">
        <v>594</v>
      </c>
      <c r="H66" s="97" t="s">
        <v>513</v>
      </c>
      <c r="I66" s="645">
        <f>VLOOKUP($G66,'BD SuministroMontaje'!$A$1:$D$105,4,0)</f>
        <v>470.03994432113723</v>
      </c>
      <c r="J66" s="105">
        <v>1</v>
      </c>
      <c r="K66" s="646">
        <f t="shared" si="50"/>
        <v>470.03994432113723</v>
      </c>
      <c r="L66" s="657">
        <v>0.12</v>
      </c>
      <c r="M66" s="657">
        <v>0</v>
      </c>
      <c r="N66" s="657">
        <v>0.53</v>
      </c>
      <c r="O66" s="657">
        <v>0.35</v>
      </c>
      <c r="P66" s="650">
        <f t="shared" si="47"/>
        <v>63.718278242729937</v>
      </c>
      <c r="Q66" s="650">
        <f t="shared" si="42"/>
        <v>0</v>
      </c>
      <c r="R66" s="650">
        <f t="shared" si="48"/>
        <v>260.89109824138023</v>
      </c>
      <c r="S66" s="650">
        <f t="shared" si="49"/>
        <v>177.88016533879363</v>
      </c>
      <c r="T66" s="743">
        <f t="shared" si="43"/>
        <v>1</v>
      </c>
      <c r="U66" s="743"/>
      <c r="V66" s="743">
        <f t="shared" si="51"/>
        <v>1</v>
      </c>
      <c r="W66" s="749">
        <f t="shared" si="52"/>
        <v>1</v>
      </c>
      <c r="X66" s="761">
        <f t="shared" si="44"/>
        <v>63.718278242729937</v>
      </c>
      <c r="Y66" s="762"/>
      <c r="Z66" s="762">
        <f t="shared" si="45"/>
        <v>260.89109824138023</v>
      </c>
      <c r="AA66" s="763">
        <f t="shared" si="46"/>
        <v>177.88016533879363</v>
      </c>
      <c r="AD66" s="741"/>
    </row>
    <row r="67" spans="1:30" outlineLevel="1">
      <c r="A67" s="615">
        <v>1</v>
      </c>
      <c r="B67" s="615">
        <v>1</v>
      </c>
      <c r="C67" s="615">
        <v>1</v>
      </c>
      <c r="D67" s="616">
        <f t="shared" si="19"/>
        <v>1</v>
      </c>
      <c r="E67" s="89" t="s">
        <v>526</v>
      </c>
      <c r="F67" s="95" t="s">
        <v>595</v>
      </c>
      <c r="G67" s="96" t="s">
        <v>596</v>
      </c>
      <c r="H67" s="97" t="s">
        <v>513</v>
      </c>
      <c r="I67" s="645">
        <f>VLOOKUP($G67,'BD SuministroMontaje'!$A$1:$D$105,4,0)</f>
        <v>158.5432028412917</v>
      </c>
      <c r="J67" s="649">
        <f>+J17</f>
        <v>1</v>
      </c>
      <c r="K67" s="646">
        <f t="shared" si="50"/>
        <v>158.5432028412917</v>
      </c>
      <c r="L67" s="657">
        <v>0.12</v>
      </c>
      <c r="M67" s="657">
        <v>0</v>
      </c>
      <c r="N67" s="657">
        <v>0.53</v>
      </c>
      <c r="O67" s="657">
        <v>0.35</v>
      </c>
      <c r="P67" s="650">
        <f t="shared" si="47"/>
        <v>21.492003039709992</v>
      </c>
      <c r="Q67" s="650">
        <f t="shared" si="42"/>
        <v>0</v>
      </c>
      <c r="R67" s="650">
        <f t="shared" si="48"/>
        <v>87.997862325741238</v>
      </c>
      <c r="S67" s="650">
        <f t="shared" si="49"/>
        <v>59.998499011571482</v>
      </c>
      <c r="T67" s="743">
        <f t="shared" si="43"/>
        <v>1</v>
      </c>
      <c r="U67" s="743"/>
      <c r="V67" s="743">
        <f t="shared" si="51"/>
        <v>1</v>
      </c>
      <c r="W67" s="749">
        <f t="shared" si="52"/>
        <v>1</v>
      </c>
      <c r="X67" s="761">
        <f t="shared" si="44"/>
        <v>21.492003039709992</v>
      </c>
      <c r="Y67" s="762"/>
      <c r="Z67" s="762">
        <f t="shared" si="45"/>
        <v>87.997862325741238</v>
      </c>
      <c r="AA67" s="763">
        <f t="shared" si="46"/>
        <v>59.998499011571482</v>
      </c>
      <c r="AD67" s="741"/>
    </row>
    <row r="68" spans="1:30" outlineLevel="1">
      <c r="A68" s="615">
        <v>1</v>
      </c>
      <c r="B68" s="615">
        <v>1</v>
      </c>
      <c r="C68" s="615">
        <v>1</v>
      </c>
      <c r="D68" s="616">
        <f t="shared" si="19"/>
        <v>1</v>
      </c>
      <c r="E68" s="89" t="s">
        <v>526</v>
      </c>
      <c r="F68" s="95" t="s">
        <v>597</v>
      </c>
      <c r="G68" s="96" t="s">
        <v>598</v>
      </c>
      <c r="H68" s="97" t="s">
        <v>513</v>
      </c>
      <c r="I68" s="645">
        <f>VLOOKUP($G68,'BD SuministroMontaje'!$A$1:$D$105,4,0)</f>
        <v>133.38971392897139</v>
      </c>
      <c r="J68" s="797">
        <f>J21</f>
        <v>1</v>
      </c>
      <c r="K68" s="646">
        <f t="shared" si="50"/>
        <v>133.38971392897139</v>
      </c>
      <c r="L68" s="657">
        <v>0.12</v>
      </c>
      <c r="M68" s="657">
        <v>0</v>
      </c>
      <c r="N68" s="657">
        <v>0.53</v>
      </c>
      <c r="O68" s="657">
        <v>0.35</v>
      </c>
      <c r="P68" s="650">
        <f t="shared" si="47"/>
        <v>18.082214095909848</v>
      </c>
      <c r="Q68" s="650">
        <f t="shared" si="42"/>
        <v>0</v>
      </c>
      <c r="R68" s="650">
        <f t="shared" si="48"/>
        <v>74.03666301444575</v>
      </c>
      <c r="S68" s="650">
        <f t="shared" si="49"/>
        <v>50.479506379927933</v>
      </c>
      <c r="T68" s="743">
        <f t="shared" si="43"/>
        <v>1</v>
      </c>
      <c r="U68" s="743"/>
      <c r="V68" s="743">
        <f t="shared" si="51"/>
        <v>1</v>
      </c>
      <c r="W68" s="749">
        <f t="shared" si="52"/>
        <v>1</v>
      </c>
      <c r="X68" s="761">
        <f t="shared" si="44"/>
        <v>18.082214095909848</v>
      </c>
      <c r="Y68" s="762"/>
      <c r="Z68" s="762">
        <f t="shared" si="45"/>
        <v>74.03666301444575</v>
      </c>
      <c r="AA68" s="763">
        <f t="shared" si="46"/>
        <v>50.479506379927933</v>
      </c>
      <c r="AD68" s="741"/>
    </row>
    <row r="69" spans="1:30" outlineLevel="1">
      <c r="A69" s="615">
        <v>1</v>
      </c>
      <c r="B69" s="615">
        <v>1</v>
      </c>
      <c r="C69" s="615">
        <v>1</v>
      </c>
      <c r="D69" s="616">
        <f t="shared" ref="D69:D100" si="53">IF(TipoTecho="Geodésico",A69,IF(TipoTecho="Flotante",B69,C69))</f>
        <v>1</v>
      </c>
      <c r="E69" s="89" t="s">
        <v>526</v>
      </c>
      <c r="F69" s="95" t="s">
        <v>599</v>
      </c>
      <c r="G69" s="96" t="s">
        <v>600</v>
      </c>
      <c r="H69" s="97" t="s">
        <v>513</v>
      </c>
      <c r="I69" s="645">
        <f>VLOOKUP($G69,'BD SuministroMontaje'!$A$1:$D$105,4,0)</f>
        <v>114.3340405105469</v>
      </c>
      <c r="J69" s="105">
        <v>1</v>
      </c>
      <c r="K69" s="646">
        <f t="shared" si="50"/>
        <v>114.3340405105469</v>
      </c>
      <c r="L69" s="657">
        <v>0.12</v>
      </c>
      <c r="M69" s="657">
        <v>0</v>
      </c>
      <c r="N69" s="657">
        <v>0.53</v>
      </c>
      <c r="O69" s="657">
        <v>0.35</v>
      </c>
      <c r="P69" s="650">
        <f t="shared" si="47"/>
        <v>15.499040653637014</v>
      </c>
      <c r="Q69" s="650">
        <f t="shared" si="42"/>
        <v>0</v>
      </c>
      <c r="R69" s="650">
        <f t="shared" si="48"/>
        <v>63.459996869524929</v>
      </c>
      <c r="S69" s="650">
        <f t="shared" si="49"/>
        <v>43.268148325652518</v>
      </c>
      <c r="T69" s="743">
        <f t="shared" si="43"/>
        <v>1</v>
      </c>
      <c r="U69" s="743"/>
      <c r="V69" s="743">
        <f t="shared" si="51"/>
        <v>1</v>
      </c>
      <c r="W69" s="749">
        <f t="shared" si="52"/>
        <v>1</v>
      </c>
      <c r="X69" s="761">
        <f t="shared" si="44"/>
        <v>15.499040653637014</v>
      </c>
      <c r="Y69" s="762"/>
      <c r="Z69" s="762">
        <f t="shared" si="45"/>
        <v>63.459996869524929</v>
      </c>
      <c r="AA69" s="763">
        <f t="shared" si="46"/>
        <v>43.268148325652518</v>
      </c>
      <c r="AD69" s="741"/>
    </row>
    <row r="70" spans="1:30" outlineLevel="1">
      <c r="A70" s="615">
        <v>1</v>
      </c>
      <c r="B70" s="615">
        <v>1</v>
      </c>
      <c r="C70" s="615">
        <v>1</v>
      </c>
      <c r="D70" s="616">
        <f t="shared" si="53"/>
        <v>1</v>
      </c>
      <c r="E70" s="89" t="s">
        <v>526</v>
      </c>
      <c r="F70" s="95" t="s">
        <v>601</v>
      </c>
      <c r="G70" s="96" t="s">
        <v>602</v>
      </c>
      <c r="H70" s="97" t="s">
        <v>513</v>
      </c>
      <c r="I70" s="645">
        <f>VLOOKUP($G70,'BD SuministroMontaje'!$A$1:$D$105,4,0)</f>
        <v>462.27098936417428</v>
      </c>
      <c r="J70" s="105">
        <v>1</v>
      </c>
      <c r="K70" s="646">
        <f t="shared" si="50"/>
        <v>462.27098936417428</v>
      </c>
      <c r="L70" s="657">
        <v>0.12</v>
      </c>
      <c r="M70" s="657">
        <v>0</v>
      </c>
      <c r="N70" s="657">
        <v>0.53</v>
      </c>
      <c r="O70" s="657">
        <v>0.35</v>
      </c>
      <c r="P70" s="650">
        <f t="shared" si="47"/>
        <v>62.665124272341437</v>
      </c>
      <c r="Q70" s="650">
        <f t="shared" si="42"/>
        <v>0</v>
      </c>
      <c r="R70" s="650">
        <f t="shared" si="48"/>
        <v>256.579015373961</v>
      </c>
      <c r="S70" s="650">
        <f t="shared" si="49"/>
        <v>174.94011096905257</v>
      </c>
      <c r="T70" s="743">
        <f t="shared" si="43"/>
        <v>1</v>
      </c>
      <c r="U70" s="743"/>
      <c r="V70" s="743">
        <f t="shared" si="51"/>
        <v>1</v>
      </c>
      <c r="W70" s="749">
        <f t="shared" si="52"/>
        <v>1</v>
      </c>
      <c r="X70" s="761">
        <f t="shared" si="44"/>
        <v>62.665124272341437</v>
      </c>
      <c r="Y70" s="762"/>
      <c r="Z70" s="762">
        <f t="shared" si="45"/>
        <v>256.579015373961</v>
      </c>
      <c r="AA70" s="763">
        <f t="shared" si="46"/>
        <v>174.94011096905257</v>
      </c>
      <c r="AD70" s="741"/>
    </row>
    <row r="71" spans="1:30" outlineLevel="1">
      <c r="A71" s="615">
        <v>1</v>
      </c>
      <c r="B71" s="615">
        <v>1</v>
      </c>
      <c r="C71" s="615">
        <v>1</v>
      </c>
      <c r="D71" s="616">
        <f t="shared" si="53"/>
        <v>1</v>
      </c>
      <c r="E71" s="89" t="s">
        <v>526</v>
      </c>
      <c r="F71" s="95" t="s">
        <v>603</v>
      </c>
      <c r="G71" s="96" t="s">
        <v>604</v>
      </c>
      <c r="H71" s="97" t="s">
        <v>497</v>
      </c>
      <c r="I71" s="645">
        <f>VLOOKUP($G71,'BD SuministroMontaje'!$A$1:$D$105,4,0)</f>
        <v>43.117907931443611</v>
      </c>
      <c r="J71" s="655">
        <f>+INT((Diametro*0.3048*PI()*Altura*0.3048)+(Diametro*Diametro*0.3048*0.3048*PI()/4)+(J10+J12+J11)*0.02)*1.03</f>
        <v>326.51</v>
      </c>
      <c r="K71" s="646">
        <f t="shared" si="50"/>
        <v>14078.428118695652</v>
      </c>
      <c r="L71" s="657">
        <v>0.35</v>
      </c>
      <c r="M71" s="657">
        <v>0</v>
      </c>
      <c r="N71" s="657">
        <v>0.35</v>
      </c>
      <c r="O71" s="657">
        <v>0.3</v>
      </c>
      <c r="P71" s="650">
        <f t="shared" si="47"/>
        <v>5566.346431897704</v>
      </c>
      <c r="Q71" s="650">
        <f t="shared" si="42"/>
        <v>0</v>
      </c>
      <c r="R71" s="650">
        <f t="shared" si="48"/>
        <v>5160.2511266305628</v>
      </c>
      <c r="S71" s="650">
        <f t="shared" si="49"/>
        <v>4566.6753311737757</v>
      </c>
      <c r="T71" s="743">
        <f t="shared" si="43"/>
        <v>1</v>
      </c>
      <c r="U71" s="743"/>
      <c r="V71" s="743">
        <f t="shared" si="51"/>
        <v>1</v>
      </c>
      <c r="W71" s="749">
        <f t="shared" si="52"/>
        <v>1</v>
      </c>
      <c r="X71" s="761">
        <f t="shared" si="44"/>
        <v>5566.346431897704</v>
      </c>
      <c r="Y71" s="762"/>
      <c r="Z71" s="762">
        <f t="shared" si="45"/>
        <v>5160.2511266305628</v>
      </c>
      <c r="AA71" s="763">
        <f t="shared" si="46"/>
        <v>4566.6753311737757</v>
      </c>
      <c r="AD71" s="741"/>
    </row>
    <row r="72" spans="1:30" outlineLevel="1">
      <c r="A72" s="615">
        <v>1</v>
      </c>
      <c r="B72" s="615">
        <v>1</v>
      </c>
      <c r="C72" s="615">
        <v>1</v>
      </c>
      <c r="D72" s="616">
        <f t="shared" si="53"/>
        <v>1</v>
      </c>
      <c r="E72" s="89" t="s">
        <v>526</v>
      </c>
      <c r="F72" s="95" t="s">
        <v>605</v>
      </c>
      <c r="G72" s="96" t="s">
        <v>606</v>
      </c>
      <c r="H72" s="97" t="s">
        <v>497</v>
      </c>
      <c r="I72" s="645">
        <f>VLOOKUP($G72,'BD SuministroMontaje'!$A$1:$D$105,4,0)</f>
        <v>45.234302663252507</v>
      </c>
      <c r="J72" s="655">
        <f>+INT((Diametro*0.3048*PI()*Altura*0.3048)+(Diametro*Diametro*0.3048*0.3048*PI()/4)*2+1*Diametro*0.3048*PI())*1.03</f>
        <v>190.55</v>
      </c>
      <c r="K72" s="646">
        <f t="shared" si="50"/>
        <v>8619.3963724827663</v>
      </c>
      <c r="L72" s="657">
        <v>0.35</v>
      </c>
      <c r="M72" s="657">
        <v>0</v>
      </c>
      <c r="N72" s="657">
        <v>0.35</v>
      </c>
      <c r="O72" s="657">
        <v>0.3</v>
      </c>
      <c r="P72" s="650">
        <f t="shared" si="47"/>
        <v>3407.9476656465399</v>
      </c>
      <c r="Q72" s="650">
        <f t="shared" si="42"/>
        <v>0</v>
      </c>
      <c r="R72" s="650">
        <f t="shared" si="48"/>
        <v>3159.3193122827429</v>
      </c>
      <c r="S72" s="650">
        <f t="shared" si="49"/>
        <v>2795.9076433791961</v>
      </c>
      <c r="T72" s="743">
        <f t="shared" si="43"/>
        <v>1</v>
      </c>
      <c r="U72" s="743"/>
      <c r="V72" s="743">
        <f t="shared" si="51"/>
        <v>1</v>
      </c>
      <c r="W72" s="749">
        <f t="shared" si="52"/>
        <v>1</v>
      </c>
      <c r="X72" s="761">
        <f t="shared" si="44"/>
        <v>3407.9476656465399</v>
      </c>
      <c r="Y72" s="762"/>
      <c r="Z72" s="762">
        <f t="shared" si="45"/>
        <v>3159.3193122827429</v>
      </c>
      <c r="AA72" s="763">
        <f t="shared" si="46"/>
        <v>2795.9076433791961</v>
      </c>
      <c r="AD72" s="741"/>
    </row>
    <row r="73" spans="1:30" outlineLevel="1">
      <c r="A73" s="615">
        <v>1</v>
      </c>
      <c r="B73" s="615">
        <v>1</v>
      </c>
      <c r="C73" s="615">
        <v>1</v>
      </c>
      <c r="D73" s="616">
        <f t="shared" si="53"/>
        <v>1</v>
      </c>
      <c r="E73" s="89" t="s">
        <v>526</v>
      </c>
      <c r="F73" s="95" t="s">
        <v>607</v>
      </c>
      <c r="G73" s="96" t="s">
        <v>608</v>
      </c>
      <c r="H73" s="97" t="s">
        <v>609</v>
      </c>
      <c r="I73" s="801">
        <f>VLOOKUP($G73,'BD SuministroMontaje'!$A$1:$D$105,4,0)</f>
        <v>1.8786141812281909</v>
      </c>
      <c r="J73" s="793">
        <f>Capacidad</f>
        <v>1000</v>
      </c>
      <c r="K73" s="646">
        <f t="shared" si="50"/>
        <v>1878.614181228191</v>
      </c>
      <c r="L73" s="657">
        <v>0.2</v>
      </c>
      <c r="M73" s="657">
        <v>0</v>
      </c>
      <c r="N73" s="657">
        <v>0.3</v>
      </c>
      <c r="O73" s="657">
        <v>0.5</v>
      </c>
      <c r="P73" s="650">
        <f t="shared" si="47"/>
        <v>424.4393217939446</v>
      </c>
      <c r="Q73" s="650">
        <f t="shared" si="42"/>
        <v>0</v>
      </c>
      <c r="R73" s="650">
        <f t="shared" si="48"/>
        <v>590.21124051566176</v>
      </c>
      <c r="S73" s="650">
        <f t="shared" si="49"/>
        <v>1015.6225024884425</v>
      </c>
      <c r="T73" s="743">
        <f t="shared" si="43"/>
        <v>1</v>
      </c>
      <c r="U73" s="743"/>
      <c r="V73" s="743">
        <f t="shared" si="51"/>
        <v>1</v>
      </c>
      <c r="W73" s="749">
        <f t="shared" si="52"/>
        <v>1</v>
      </c>
      <c r="X73" s="776">
        <f t="shared" si="44"/>
        <v>424.4393217939446</v>
      </c>
      <c r="Y73" s="762"/>
      <c r="Z73" s="762">
        <f t="shared" si="45"/>
        <v>590.21124051566176</v>
      </c>
      <c r="AA73" s="763">
        <f t="shared" si="46"/>
        <v>1015.6225024884425</v>
      </c>
      <c r="AD73" s="741"/>
    </row>
    <row r="74" spans="1:30" outlineLevel="1">
      <c r="A74" s="615">
        <v>1</v>
      </c>
      <c r="B74" s="615">
        <v>1</v>
      </c>
      <c r="C74" s="615">
        <v>1</v>
      </c>
      <c r="D74" s="616">
        <f t="shared" si="53"/>
        <v>1</v>
      </c>
      <c r="E74" s="89" t="s">
        <v>526</v>
      </c>
      <c r="F74" s="95" t="s">
        <v>610</v>
      </c>
      <c r="G74" s="96" t="s">
        <v>611</v>
      </c>
      <c r="H74" s="97" t="s">
        <v>513</v>
      </c>
      <c r="I74" s="645">
        <f>VLOOKUP($G74,'BD SuministroMontaje'!$A$1:$D$105,4,0)</f>
        <v>2769.4245368110251</v>
      </c>
      <c r="J74" s="118">
        <v>1</v>
      </c>
      <c r="K74" s="646">
        <f t="shared" si="50"/>
        <v>2769.4245368110251</v>
      </c>
      <c r="L74" s="657">
        <v>0.5</v>
      </c>
      <c r="M74" s="657">
        <v>0</v>
      </c>
      <c r="N74" s="657">
        <v>0.3</v>
      </c>
      <c r="O74" s="657">
        <v>0.2</v>
      </c>
      <c r="P74" s="650">
        <f t="shared" si="47"/>
        <v>1564.255028931884</v>
      </c>
      <c r="Q74" s="650">
        <f t="shared" si="42"/>
        <v>0</v>
      </c>
      <c r="R74" s="650">
        <f t="shared" si="48"/>
        <v>870.08046022367512</v>
      </c>
      <c r="S74" s="650">
        <f t="shared" si="49"/>
        <v>598.8861165074444</v>
      </c>
      <c r="T74" s="743">
        <f t="shared" si="43"/>
        <v>1</v>
      </c>
      <c r="U74" s="743"/>
      <c r="V74" s="743">
        <f>fac_mano_obra</f>
        <v>1</v>
      </c>
      <c r="W74" s="749">
        <f>fac_iObraCivil</f>
        <v>1</v>
      </c>
      <c r="X74" s="761">
        <f t="shared" si="44"/>
        <v>1564.255028931884</v>
      </c>
      <c r="Y74" s="762"/>
      <c r="Z74" s="762">
        <f t="shared" si="45"/>
        <v>870.08046022367512</v>
      </c>
      <c r="AA74" s="763">
        <f t="shared" si="46"/>
        <v>598.8861165074444</v>
      </c>
      <c r="AD74" s="741"/>
    </row>
    <row r="75" spans="1:30">
      <c r="A75" s="615">
        <v>1</v>
      </c>
      <c r="B75" s="615">
        <v>1</v>
      </c>
      <c r="C75" s="615">
        <v>1</v>
      </c>
      <c r="D75" s="616">
        <f t="shared" si="53"/>
        <v>1</v>
      </c>
      <c r="E75" s="89"/>
      <c r="F75" s="90">
        <v>6</v>
      </c>
      <c r="G75" s="91" t="s">
        <v>612</v>
      </c>
      <c r="H75" s="92"/>
      <c r="I75" s="93"/>
      <c r="J75" s="93"/>
      <c r="K75" s="93"/>
      <c r="L75" s="94"/>
      <c r="M75" s="94"/>
      <c r="N75" s="94"/>
      <c r="O75" s="94"/>
      <c r="P75" s="94"/>
      <c r="Q75" s="94"/>
      <c r="R75" s="94"/>
      <c r="S75" s="94"/>
      <c r="T75" s="744"/>
      <c r="U75" s="744"/>
      <c r="V75" s="744"/>
      <c r="W75" s="750"/>
      <c r="X75" s="757"/>
      <c r="Y75" s="94"/>
      <c r="Z75" s="94"/>
      <c r="AA75" s="758"/>
      <c r="AD75" s="741"/>
    </row>
    <row r="76" spans="1:30" outlineLevel="1">
      <c r="A76" s="615">
        <v>1</v>
      </c>
      <c r="B76" s="615">
        <v>0</v>
      </c>
      <c r="C76" s="615">
        <v>0</v>
      </c>
      <c r="D76" s="616">
        <f t="shared" si="53"/>
        <v>0</v>
      </c>
      <c r="E76" s="89" t="s">
        <v>526</v>
      </c>
      <c r="F76" s="101" t="s">
        <v>613</v>
      </c>
      <c r="G76" s="96" t="s">
        <v>614</v>
      </c>
      <c r="H76" s="119" t="s">
        <v>513</v>
      </c>
      <c r="I76" s="645">
        <f>VLOOKUP($G76,'BD SuministroMontaje'!$A$1:$D$105,4,0)</f>
        <v>3789.9800420600973</v>
      </c>
      <c r="J76" s="105">
        <v>4</v>
      </c>
      <c r="K76" s="646">
        <f>I76*J76</f>
        <v>15159.920168240389</v>
      </c>
      <c r="L76" s="657">
        <v>0</v>
      </c>
      <c r="M76" s="657">
        <v>0.9</v>
      </c>
      <c r="N76" s="657">
        <v>0.05</v>
      </c>
      <c r="O76" s="657">
        <v>0.05</v>
      </c>
      <c r="P76" s="650">
        <f t="shared" ref="P76:P79" si="54">X76*T76</f>
        <v>0</v>
      </c>
      <c r="Q76" s="650">
        <f t="shared" ref="Q76:Q79" si="55">Y76*U76</f>
        <v>0</v>
      </c>
      <c r="R76" s="650">
        <f t="shared" ref="R76:R79" si="56">Z76*V76</f>
        <v>0</v>
      </c>
      <c r="S76" s="650">
        <f t="shared" ref="S76:S79" si="57">AA76*W76</f>
        <v>0</v>
      </c>
      <c r="T76" s="743"/>
      <c r="U76" s="743">
        <f>+fac_iInstControl</f>
        <v>1</v>
      </c>
      <c r="V76" s="743">
        <f>fac_mano_obra</f>
        <v>1</v>
      </c>
      <c r="W76" s="749">
        <f>fac_iObraCivil</f>
        <v>1</v>
      </c>
      <c r="X76" s="761"/>
      <c r="Y76" s="762">
        <f>$K76*M76*$D76*1.22635137367903</f>
        <v>0</v>
      </c>
      <c r="Z76" s="762">
        <f>$K76*N76*$D76*1.04724579500015</f>
        <v>0</v>
      </c>
      <c r="AA76" s="763">
        <f>$K76*O76*$D76*1.0812464982293</f>
        <v>0</v>
      </c>
      <c r="AD76" s="741"/>
    </row>
    <row r="77" spans="1:30" outlineLevel="1">
      <c r="A77" s="615">
        <v>1</v>
      </c>
      <c r="B77" s="615">
        <v>0</v>
      </c>
      <c r="C77" s="615">
        <v>0</v>
      </c>
      <c r="D77" s="616">
        <f t="shared" si="53"/>
        <v>0</v>
      </c>
      <c r="E77" s="89" t="s">
        <v>526</v>
      </c>
      <c r="F77" s="101" t="s">
        <v>615</v>
      </c>
      <c r="G77" s="96" t="s">
        <v>616</v>
      </c>
      <c r="H77" s="119" t="s">
        <v>513</v>
      </c>
      <c r="I77" s="645">
        <f>VLOOKUP($G77,'BD SuministroMontaje'!$A$1:$D$105,4,0)</f>
        <v>11839.886361672892</v>
      </c>
      <c r="J77" s="105">
        <v>1</v>
      </c>
      <c r="K77" s="646">
        <f>I77*J77</f>
        <v>11839.886361672892</v>
      </c>
      <c r="L77" s="657">
        <v>0</v>
      </c>
      <c r="M77" s="657">
        <v>0.9</v>
      </c>
      <c r="N77" s="657">
        <v>0.05</v>
      </c>
      <c r="O77" s="657">
        <v>0.05</v>
      </c>
      <c r="P77" s="650">
        <f t="shared" si="54"/>
        <v>0</v>
      </c>
      <c r="Q77" s="650">
        <f t="shared" si="55"/>
        <v>0</v>
      </c>
      <c r="R77" s="650">
        <f t="shared" si="56"/>
        <v>0</v>
      </c>
      <c r="S77" s="650">
        <f t="shared" si="57"/>
        <v>0</v>
      </c>
      <c r="T77" s="743"/>
      <c r="U77" s="743">
        <f>+fac_iInstControl</f>
        <v>1</v>
      </c>
      <c r="V77" s="743">
        <f>fac_mano_obra</f>
        <v>1</v>
      </c>
      <c r="W77" s="749">
        <f>fac_iObraCivil</f>
        <v>1</v>
      </c>
      <c r="X77" s="761"/>
      <c r="Y77" s="762">
        <f>$K77*M77*$D77*1.22635137367903</f>
        <v>0</v>
      </c>
      <c r="Z77" s="762">
        <f>$K77*N77*$D77*1.04724579500015</f>
        <v>0</v>
      </c>
      <c r="AA77" s="763">
        <f>$K77*O77*$D77*1.0812464982293</f>
        <v>0</v>
      </c>
      <c r="AD77" s="741"/>
    </row>
    <row r="78" spans="1:30" outlineLevel="1">
      <c r="A78" s="615">
        <v>0</v>
      </c>
      <c r="B78" s="615">
        <v>1</v>
      </c>
      <c r="C78" s="615">
        <v>1</v>
      </c>
      <c r="D78" s="616">
        <f t="shared" si="53"/>
        <v>1</v>
      </c>
      <c r="E78" s="89" t="s">
        <v>526</v>
      </c>
      <c r="F78" s="120" t="s">
        <v>613</v>
      </c>
      <c r="G78" s="96" t="s">
        <v>617</v>
      </c>
      <c r="H78" s="119" t="s">
        <v>513</v>
      </c>
      <c r="I78" s="645">
        <f>VLOOKUP($G78,'BD SuministroMontaje'!$A$1:$D$105,4,0)</f>
        <v>3609.5048019619953</v>
      </c>
      <c r="J78" s="105">
        <v>4</v>
      </c>
      <c r="K78" s="646">
        <f>I78*J78</f>
        <v>14438.019207847981</v>
      </c>
      <c r="L78" s="657">
        <v>0</v>
      </c>
      <c r="M78" s="657">
        <v>0.9</v>
      </c>
      <c r="N78" s="657">
        <v>0.05</v>
      </c>
      <c r="O78" s="657">
        <v>0.05</v>
      </c>
      <c r="P78" s="650">
        <f t="shared" si="54"/>
        <v>0</v>
      </c>
      <c r="Q78" s="650">
        <f t="shared" si="55"/>
        <v>15935.476219873733</v>
      </c>
      <c r="R78" s="650">
        <f t="shared" si="56"/>
        <v>756.00774517750983</v>
      </c>
      <c r="S78" s="650">
        <f t="shared" si="57"/>
        <v>780.55288549265015</v>
      </c>
      <c r="T78" s="743"/>
      <c r="U78" s="743">
        <f>+fac_iInstControl</f>
        <v>1</v>
      </c>
      <c r="V78" s="743">
        <f>fac_mano_obra</f>
        <v>1</v>
      </c>
      <c r="W78" s="749">
        <f>fac_iObraCivil</f>
        <v>1</v>
      </c>
      <c r="X78" s="761"/>
      <c r="Y78" s="762">
        <f>$K78*M78*$D78*1.22635137367903</f>
        <v>15935.476219873733</v>
      </c>
      <c r="Z78" s="762">
        <f>$K78*N78*$D78*1.04724579500015</f>
        <v>756.00774517750983</v>
      </c>
      <c r="AA78" s="763">
        <f>$K78*O78*$D78*1.0812464982293</f>
        <v>780.55288549265015</v>
      </c>
      <c r="AD78" s="741"/>
    </row>
    <row r="79" spans="1:30" outlineLevel="1">
      <c r="A79" s="615">
        <v>0</v>
      </c>
      <c r="B79" s="615">
        <v>1</v>
      </c>
      <c r="C79" s="615">
        <v>1</v>
      </c>
      <c r="D79" s="616">
        <f t="shared" si="53"/>
        <v>1</v>
      </c>
      <c r="E79" s="89" t="s">
        <v>526</v>
      </c>
      <c r="F79" s="120" t="s">
        <v>615</v>
      </c>
      <c r="G79" s="96" t="s">
        <v>618</v>
      </c>
      <c r="H79" s="119" t="s">
        <v>513</v>
      </c>
      <c r="I79" s="645">
        <f>VLOOKUP($G79,'BD SuministroMontaje'!$A$1:$D$105,4,0)</f>
        <v>11495.035302595055</v>
      </c>
      <c r="J79" s="105">
        <v>1</v>
      </c>
      <c r="K79" s="646">
        <f>I79*J79</f>
        <v>11495.035302595055</v>
      </c>
      <c r="L79" s="657">
        <v>0</v>
      </c>
      <c r="M79" s="657">
        <v>0.9</v>
      </c>
      <c r="N79" s="657">
        <v>0.05</v>
      </c>
      <c r="O79" s="657">
        <v>0.05</v>
      </c>
      <c r="P79" s="650">
        <f t="shared" si="54"/>
        <v>0</v>
      </c>
      <c r="Q79" s="650">
        <f t="shared" si="55"/>
        <v>12687.25710044375</v>
      </c>
      <c r="R79" s="650">
        <f t="shared" si="56"/>
        <v>601.90636920104737</v>
      </c>
      <c r="S79" s="650">
        <f t="shared" si="57"/>
        <v>621.44833339765432</v>
      </c>
      <c r="T79" s="743"/>
      <c r="U79" s="743">
        <f>+fac_iInstControl</f>
        <v>1</v>
      </c>
      <c r="V79" s="743">
        <f>fac_mano_obra</f>
        <v>1</v>
      </c>
      <c r="W79" s="749">
        <f>fac_iObraCivil</f>
        <v>1</v>
      </c>
      <c r="X79" s="761"/>
      <c r="Y79" s="762">
        <f>$K79*M79*$D79*1.22635137367903</f>
        <v>12687.25710044375</v>
      </c>
      <c r="Z79" s="762">
        <f>$K79*N79*$D79*1.04724579500015</f>
        <v>601.90636920104737</v>
      </c>
      <c r="AA79" s="763">
        <f>$K79*O79*$D79*1.0812464982293</f>
        <v>621.44833339765432</v>
      </c>
      <c r="AD79" s="741"/>
    </row>
    <row r="80" spans="1:30" outlineLevel="1">
      <c r="A80" s="615">
        <v>1</v>
      </c>
      <c r="B80" s="615">
        <v>1</v>
      </c>
      <c r="C80" s="615">
        <v>1</v>
      </c>
      <c r="D80" s="616">
        <f t="shared" si="53"/>
        <v>1</v>
      </c>
      <c r="E80" s="89" t="s">
        <v>526</v>
      </c>
      <c r="F80" s="95">
        <v>6.3</v>
      </c>
      <c r="G80" s="109" t="s">
        <v>619</v>
      </c>
      <c r="H80" s="110"/>
      <c r="I80" s="114"/>
      <c r="J80" s="114"/>
      <c r="K80" s="121"/>
      <c r="L80" s="112"/>
      <c r="M80" s="112"/>
      <c r="N80" s="112"/>
      <c r="O80" s="112"/>
      <c r="P80" s="113"/>
      <c r="Q80" s="113"/>
      <c r="R80" s="113"/>
      <c r="S80" s="113"/>
      <c r="T80" s="745"/>
      <c r="U80" s="745"/>
      <c r="V80" s="745"/>
      <c r="W80" s="751"/>
      <c r="X80" s="759"/>
      <c r="Y80" s="113"/>
      <c r="Z80" s="113"/>
      <c r="AA80" s="760"/>
      <c r="AD80" s="741"/>
    </row>
    <row r="81" spans="1:30" outlineLevel="1">
      <c r="A81" s="615">
        <v>1</v>
      </c>
      <c r="B81" s="615">
        <v>1</v>
      </c>
      <c r="C81" s="615">
        <v>1</v>
      </c>
      <c r="D81" s="616">
        <f t="shared" si="53"/>
        <v>1</v>
      </c>
      <c r="E81" s="89" t="s">
        <v>526</v>
      </c>
      <c r="F81" s="95" t="s">
        <v>620</v>
      </c>
      <c r="G81" s="96" t="s">
        <v>621</v>
      </c>
      <c r="H81" s="119" t="s">
        <v>515</v>
      </c>
      <c r="I81" s="645">
        <f>VLOOKUP($G81,'BD SuministroMontaje'!$A$1:$D$105,4,0)</f>
        <v>3.2328664308093193</v>
      </c>
      <c r="J81" s="649">
        <f>FDInst*Diametro</f>
        <v>853.3854166651563</v>
      </c>
      <c r="K81" s="646">
        <f>I81*J81</f>
        <v>2758.8810660790077</v>
      </c>
      <c r="L81" s="657">
        <v>0.7</v>
      </c>
      <c r="M81" s="657">
        <v>0</v>
      </c>
      <c r="N81" s="657">
        <v>0.2</v>
      </c>
      <c r="O81" s="657">
        <v>0.1</v>
      </c>
      <c r="P81" s="650">
        <f t="shared" ref="P81:P83" si="58">X81*T81</f>
        <v>2368.35030964214</v>
      </c>
      <c r="Q81" s="650">
        <f t="shared" ref="Q81:Q83" si="59">Y81*U81</f>
        <v>0</v>
      </c>
      <c r="R81" s="650">
        <f t="shared" ref="R81:R83" si="60">Z81*V81</f>
        <v>577.84531907135431</v>
      </c>
      <c r="S81" s="650">
        <f t="shared" ref="S81:S83" si="61">AA81*W81</f>
        <v>298.30304917290454</v>
      </c>
      <c r="T81" s="743">
        <f>+fac_iInstControl</f>
        <v>1</v>
      </c>
      <c r="U81" s="743"/>
      <c r="V81" s="743">
        <f>fac_mano_obra</f>
        <v>1</v>
      </c>
      <c r="W81" s="749">
        <f>fac_iObraCivil</f>
        <v>1</v>
      </c>
      <c r="X81" s="761">
        <f>$K81*L81*$D81*1.22635137367903</f>
        <v>2368.35030964214</v>
      </c>
      <c r="Y81" s="762"/>
      <c r="Z81" s="762">
        <f>$K81*N81*$D81*1.04724579500015</f>
        <v>577.84531907135431</v>
      </c>
      <c r="AA81" s="763">
        <f>$K81*O81*$D81*1.0812464982293</f>
        <v>298.30304917290454</v>
      </c>
      <c r="AD81" s="741"/>
    </row>
    <row r="82" spans="1:30" outlineLevel="1">
      <c r="A82" s="615">
        <v>1</v>
      </c>
      <c r="B82" s="615">
        <v>1</v>
      </c>
      <c r="C82" s="615">
        <v>1</v>
      </c>
      <c r="D82" s="616">
        <f t="shared" si="53"/>
        <v>1</v>
      </c>
      <c r="E82" s="89" t="s">
        <v>526</v>
      </c>
      <c r="F82" s="95" t="s">
        <v>622</v>
      </c>
      <c r="G82" s="96" t="s">
        <v>623</v>
      </c>
      <c r="H82" s="122" t="s">
        <v>515</v>
      </c>
      <c r="I82" s="645">
        <f>VLOOKUP($G82,'BD SuministroMontaje'!$A$1:$D$105,4,0)</f>
        <v>2.9760407774218156</v>
      </c>
      <c r="J82" s="649">
        <f>FDCableI*Diametro</f>
        <v>58.854166666562499</v>
      </c>
      <c r="K82" s="646">
        <f>I82*J82</f>
        <v>175.15239992086975</v>
      </c>
      <c r="L82" s="657">
        <v>0.7</v>
      </c>
      <c r="M82" s="657">
        <v>0</v>
      </c>
      <c r="N82" s="657">
        <v>0.2</v>
      </c>
      <c r="O82" s="657">
        <v>0.1</v>
      </c>
      <c r="P82" s="650">
        <f t="shared" si="58"/>
        <v>150.3588703722962</v>
      </c>
      <c r="Q82" s="650">
        <f t="shared" si="59"/>
        <v>0</v>
      </c>
      <c r="R82" s="650">
        <f t="shared" si="60"/>
        <v>36.685522860263092</v>
      </c>
      <c r="S82" s="650">
        <f t="shared" si="61"/>
        <v>18.938291907089834</v>
      </c>
      <c r="T82" s="743">
        <f>+fac_iInstControl</f>
        <v>1</v>
      </c>
      <c r="U82" s="743"/>
      <c r="V82" s="743">
        <f>fac_mano_obra</f>
        <v>1</v>
      </c>
      <c r="W82" s="749">
        <f>fac_iObraCivil</f>
        <v>1</v>
      </c>
      <c r="X82" s="761">
        <f>$K82*L82*$D82*1.22635137367903</f>
        <v>150.3588703722962</v>
      </c>
      <c r="Y82" s="762"/>
      <c r="Z82" s="762">
        <f>$K82*N82*$D82*1.04724579500015</f>
        <v>36.685522860263092</v>
      </c>
      <c r="AA82" s="763">
        <f>$K82*O82*$D82*1.0812464982293</f>
        <v>18.938291907089834</v>
      </c>
      <c r="AD82" s="741"/>
    </row>
    <row r="83" spans="1:30" ht="22.5" outlineLevel="1">
      <c r="A83" s="615">
        <v>1</v>
      </c>
      <c r="B83" s="615">
        <v>1</v>
      </c>
      <c r="C83" s="615">
        <v>1</v>
      </c>
      <c r="D83" s="616">
        <f t="shared" si="53"/>
        <v>1</v>
      </c>
      <c r="E83" s="89" t="s">
        <v>526</v>
      </c>
      <c r="F83" s="95" t="s">
        <v>624</v>
      </c>
      <c r="G83" s="96" t="s">
        <v>625</v>
      </c>
      <c r="H83" s="122" t="s">
        <v>515</v>
      </c>
      <c r="I83" s="645">
        <f>VLOOKUP($G83,'BD SuministroMontaje'!$A$1:$D$105,4,0)</f>
        <v>16.767444224777879</v>
      </c>
      <c r="J83" s="649">
        <f>FDCableC*Diametro</f>
        <v>132.42187499976563</v>
      </c>
      <c r="K83" s="646">
        <f>I83*J83</f>
        <v>2220.3764031990786</v>
      </c>
      <c r="L83" s="657">
        <v>0.7</v>
      </c>
      <c r="M83" s="657">
        <v>0</v>
      </c>
      <c r="N83" s="657">
        <v>0.2</v>
      </c>
      <c r="O83" s="657">
        <v>0.1</v>
      </c>
      <c r="P83" s="650">
        <f t="shared" si="58"/>
        <v>1906.0731565033855</v>
      </c>
      <c r="Q83" s="650">
        <f t="shared" si="59"/>
        <v>0</v>
      </c>
      <c r="R83" s="650">
        <f t="shared" si="60"/>
        <v>465.05597031355853</v>
      </c>
      <c r="S83" s="650">
        <f t="shared" si="61"/>
        <v>240.07742107099719</v>
      </c>
      <c r="T83" s="743">
        <f>+fac_iInstControl</f>
        <v>1</v>
      </c>
      <c r="U83" s="743"/>
      <c r="V83" s="743">
        <f>fac_mano_obra</f>
        <v>1</v>
      </c>
      <c r="W83" s="749">
        <f>fac_iObraCivil</f>
        <v>1</v>
      </c>
      <c r="X83" s="761">
        <f>$K83*L83*$D83*1.22635137367903</f>
        <v>1906.0731565033855</v>
      </c>
      <c r="Y83" s="762"/>
      <c r="Z83" s="762">
        <f>$K83*N83*$D83*1.04724579500015</f>
        <v>465.05597031355853</v>
      </c>
      <c r="AA83" s="763">
        <f>$K83*O83*$D83*1.0812464982293</f>
        <v>240.07742107099719</v>
      </c>
      <c r="AD83" s="741"/>
    </row>
    <row r="84" spans="1:30">
      <c r="A84" s="615">
        <v>1</v>
      </c>
      <c r="B84" s="615">
        <v>1</v>
      </c>
      <c r="C84" s="615">
        <v>1</v>
      </c>
      <c r="D84" s="616">
        <f t="shared" si="53"/>
        <v>1</v>
      </c>
      <c r="E84" s="89"/>
      <c r="F84" s="90">
        <v>7</v>
      </c>
      <c r="G84" s="91" t="s">
        <v>626</v>
      </c>
      <c r="H84" s="92"/>
      <c r="I84" s="93"/>
      <c r="J84" s="93"/>
      <c r="K84" s="93"/>
      <c r="L84" s="94"/>
      <c r="M84" s="94"/>
      <c r="N84" s="94"/>
      <c r="O84" s="94"/>
      <c r="P84" s="94"/>
      <c r="Q84" s="94"/>
      <c r="R84" s="94"/>
      <c r="S84" s="94"/>
      <c r="T84" s="94"/>
      <c r="U84" s="94"/>
      <c r="V84" s="94"/>
      <c r="W84" s="748"/>
      <c r="X84" s="757"/>
      <c r="Y84" s="94"/>
      <c r="Z84" s="94"/>
      <c r="AA84" s="758"/>
      <c r="AD84" s="741"/>
    </row>
    <row r="85" spans="1:30">
      <c r="A85" s="615">
        <v>1</v>
      </c>
      <c r="B85" s="615">
        <v>1</v>
      </c>
      <c r="C85" s="615">
        <v>1</v>
      </c>
      <c r="D85" s="616">
        <f t="shared" si="53"/>
        <v>1</v>
      </c>
      <c r="E85" s="89"/>
      <c r="F85" s="95">
        <v>7.1</v>
      </c>
      <c r="G85" s="109" t="s">
        <v>627</v>
      </c>
      <c r="H85" s="110"/>
      <c r="I85" s="111"/>
      <c r="J85" s="111"/>
      <c r="K85" s="111"/>
      <c r="L85" s="112"/>
      <c r="M85" s="112"/>
      <c r="N85" s="112"/>
      <c r="O85" s="112"/>
      <c r="P85" s="113"/>
      <c r="Q85" s="113"/>
      <c r="R85" s="113"/>
      <c r="S85" s="113"/>
      <c r="T85" s="113"/>
      <c r="U85" s="113"/>
      <c r="V85" s="113"/>
      <c r="W85" s="753"/>
      <c r="X85" s="759"/>
      <c r="Y85" s="113"/>
      <c r="Z85" s="113"/>
      <c r="AA85" s="760"/>
      <c r="AD85" s="741"/>
    </row>
    <row r="86" spans="1:30" outlineLevel="1">
      <c r="A86" s="615">
        <v>1</v>
      </c>
      <c r="B86" s="615">
        <v>1</v>
      </c>
      <c r="C86" s="615">
        <v>1</v>
      </c>
      <c r="D86" s="616">
        <f t="shared" si="53"/>
        <v>1</v>
      </c>
      <c r="E86" s="89" t="s">
        <v>502</v>
      </c>
      <c r="F86" s="95" t="s">
        <v>628</v>
      </c>
      <c r="G86" s="96" t="s">
        <v>629</v>
      </c>
      <c r="H86" s="97" t="s">
        <v>504</v>
      </c>
      <c r="I86" s="645">
        <f>VLOOKUP($G86,'BD SuministroMontaje'!$A$1:$D$105,4,0)</f>
        <v>3.7618440084425719</v>
      </c>
      <c r="J86" s="649">
        <f>+J87*0.05</f>
        <v>574.85283771918728</v>
      </c>
      <c r="K86" s="646">
        <f t="shared" ref="K86:K94" si="62">I86*J86</f>
        <v>2162.506703310135</v>
      </c>
      <c r="L86" s="657">
        <v>0</v>
      </c>
      <c r="M86" s="657">
        <v>1</v>
      </c>
      <c r="N86" s="657">
        <v>0</v>
      </c>
      <c r="O86" s="657">
        <v>0</v>
      </c>
      <c r="P86" s="650">
        <f t="shared" ref="P86:P94" si="63">X86*T86</f>
        <v>0</v>
      </c>
      <c r="Q86" s="650">
        <f t="shared" ref="Q86:Q94" si="64">Y86*U86</f>
        <v>1755.7513739549174</v>
      </c>
      <c r="R86" s="650">
        <f t="shared" ref="R86:R94" si="65">Z86*V86</f>
        <v>0</v>
      </c>
      <c r="S86" s="650">
        <f t="shared" ref="S86:S94" si="66">AA86*W86</f>
        <v>0</v>
      </c>
      <c r="T86" s="768"/>
      <c r="U86" s="768">
        <f t="shared" ref="U86:U89" si="67">+fac_iAcero</f>
        <v>1</v>
      </c>
      <c r="V86" s="768"/>
      <c r="W86" s="769"/>
      <c r="X86" s="761"/>
      <c r="Y86" s="762">
        <f>$K86*M86*$D86*0.811905633063426</f>
        <v>1755.7513739549174</v>
      </c>
      <c r="Z86" s="762"/>
      <c r="AA86" s="763"/>
      <c r="AD86" s="741"/>
    </row>
    <row r="87" spans="1:30" outlineLevel="1">
      <c r="A87" s="615">
        <v>1</v>
      </c>
      <c r="B87" s="615">
        <v>1</v>
      </c>
      <c r="C87" s="615">
        <v>1</v>
      </c>
      <c r="D87" s="616">
        <f t="shared" si="53"/>
        <v>1</v>
      </c>
      <c r="E87" s="89" t="s">
        <v>502</v>
      </c>
      <c r="F87" s="95" t="s">
        <v>630</v>
      </c>
      <c r="G87" s="96" t="s">
        <v>631</v>
      </c>
      <c r="H87" s="97" t="s">
        <v>504</v>
      </c>
      <c r="I87" s="645">
        <f>VLOOKUP($G87,'BD SuministroMontaje'!$A$1:$D$105,4,0)</f>
        <v>2.8896023171698886</v>
      </c>
      <c r="J87" s="649">
        <f>FDPesoT*SQRT(J6)</f>
        <v>11497.056754383746</v>
      </c>
      <c r="K87" s="646">
        <f t="shared" si="62"/>
        <v>33221.921838100992</v>
      </c>
      <c r="L87" s="657">
        <v>0</v>
      </c>
      <c r="M87" s="657">
        <v>1</v>
      </c>
      <c r="N87" s="657">
        <v>0</v>
      </c>
      <c r="O87" s="657">
        <v>0</v>
      </c>
      <c r="P87" s="650">
        <f t="shared" si="63"/>
        <v>0</v>
      </c>
      <c r="Q87" s="650">
        <f t="shared" si="64"/>
        <v>26973.065481547044</v>
      </c>
      <c r="R87" s="650">
        <f t="shared" si="65"/>
        <v>0</v>
      </c>
      <c r="S87" s="650">
        <f t="shared" si="66"/>
        <v>0</v>
      </c>
      <c r="T87" s="768"/>
      <c r="U87" s="768">
        <f t="shared" si="67"/>
        <v>1</v>
      </c>
      <c r="V87" s="768"/>
      <c r="W87" s="769"/>
      <c r="X87" s="761"/>
      <c r="Y87" s="762">
        <f>$K87*M87*$D87*0.811905633063426</f>
        <v>26973.065481547044</v>
      </c>
      <c r="Z87" s="762"/>
      <c r="AA87" s="763"/>
      <c r="AD87" s="741"/>
    </row>
    <row r="88" spans="1:30" outlineLevel="1">
      <c r="A88" s="615">
        <v>1</v>
      </c>
      <c r="B88" s="615">
        <v>1</v>
      </c>
      <c r="C88" s="615">
        <v>1</v>
      </c>
      <c r="D88" s="616">
        <f t="shared" si="53"/>
        <v>1</v>
      </c>
      <c r="E88" s="89" t="s">
        <v>502</v>
      </c>
      <c r="F88" s="95" t="s">
        <v>632</v>
      </c>
      <c r="G88" s="96" t="s">
        <v>633</v>
      </c>
      <c r="H88" s="97" t="s">
        <v>504</v>
      </c>
      <c r="I88" s="645">
        <f>VLOOKUP($G88,'BD SuministroMontaje'!$A$1:$D$105,4,0)</f>
        <v>42.868913300315612</v>
      </c>
      <c r="J88" s="649">
        <f>+J86*0.1</f>
        <v>57.485283771918731</v>
      </c>
      <c r="K88" s="646">
        <f t="shared" si="62"/>
        <v>2464.3316460624242</v>
      </c>
      <c r="L88" s="657">
        <v>0</v>
      </c>
      <c r="M88" s="657">
        <v>1</v>
      </c>
      <c r="N88" s="657">
        <v>0</v>
      </c>
      <c r="O88" s="657">
        <v>0</v>
      </c>
      <c r="P88" s="650">
        <f t="shared" si="63"/>
        <v>0</v>
      </c>
      <c r="Q88" s="650">
        <f t="shared" si="64"/>
        <v>2000.8047451745472</v>
      </c>
      <c r="R88" s="650">
        <f t="shared" si="65"/>
        <v>0</v>
      </c>
      <c r="S88" s="650">
        <f t="shared" si="66"/>
        <v>0</v>
      </c>
      <c r="T88" s="768"/>
      <c r="U88" s="768">
        <f t="shared" si="67"/>
        <v>1</v>
      </c>
      <c r="V88" s="768"/>
      <c r="W88" s="769"/>
      <c r="X88" s="761"/>
      <c r="Y88" s="762">
        <f>$K88*M88*$D88*0.811905633063426</f>
        <v>2000.8047451745472</v>
      </c>
      <c r="Z88" s="762"/>
      <c r="AA88" s="763"/>
      <c r="AD88" s="741"/>
    </row>
    <row r="89" spans="1:30" outlineLevel="1">
      <c r="A89" s="615">
        <v>1</v>
      </c>
      <c r="B89" s="615">
        <v>1</v>
      </c>
      <c r="C89" s="615">
        <v>1</v>
      </c>
      <c r="D89" s="616">
        <f t="shared" si="53"/>
        <v>1</v>
      </c>
      <c r="E89" s="89" t="s">
        <v>502</v>
      </c>
      <c r="F89" s="95" t="s">
        <v>634</v>
      </c>
      <c r="G89" s="96" t="s">
        <v>635</v>
      </c>
      <c r="H89" s="97" t="s">
        <v>504</v>
      </c>
      <c r="I89" s="645">
        <f>VLOOKUP($G89,'BD SuministroMontaje'!$A$1:$D$105,4,0)</f>
        <v>4.3701011039586817</v>
      </c>
      <c r="J89" s="649">
        <f>+J87*0.1</f>
        <v>1149.7056754383746</v>
      </c>
      <c r="K89" s="646">
        <f t="shared" si="62"/>
        <v>5024.330041460802</v>
      </c>
      <c r="L89" s="657">
        <v>0</v>
      </c>
      <c r="M89" s="657">
        <v>1</v>
      </c>
      <c r="N89" s="657">
        <v>0</v>
      </c>
      <c r="O89" s="657">
        <v>0</v>
      </c>
      <c r="P89" s="650">
        <f t="shared" si="63"/>
        <v>0</v>
      </c>
      <c r="Q89" s="650">
        <f t="shared" si="64"/>
        <v>4079.281863031822</v>
      </c>
      <c r="R89" s="650">
        <f t="shared" si="65"/>
        <v>0</v>
      </c>
      <c r="S89" s="650">
        <f t="shared" si="66"/>
        <v>0</v>
      </c>
      <c r="T89" s="768"/>
      <c r="U89" s="768">
        <f t="shared" si="67"/>
        <v>1</v>
      </c>
      <c r="V89" s="768"/>
      <c r="W89" s="769"/>
      <c r="X89" s="761"/>
      <c r="Y89" s="762">
        <f>$K89*M89*$D89*0.811905633063426</f>
        <v>4079.281863031822</v>
      </c>
      <c r="Z89" s="762"/>
      <c r="AA89" s="763"/>
      <c r="AD89" s="741"/>
    </row>
    <row r="90" spans="1:30" outlineLevel="1">
      <c r="A90" s="615">
        <v>1</v>
      </c>
      <c r="B90" s="615">
        <v>1</v>
      </c>
      <c r="C90" s="615">
        <v>1</v>
      </c>
      <c r="D90" s="616">
        <f t="shared" si="53"/>
        <v>1</v>
      </c>
      <c r="E90" s="89" t="s">
        <v>502</v>
      </c>
      <c r="F90" s="95" t="s">
        <v>636</v>
      </c>
      <c r="G90" s="96" t="s">
        <v>637</v>
      </c>
      <c r="H90" s="97" t="s">
        <v>504</v>
      </c>
      <c r="I90" s="645">
        <f>VLOOKUP($G90,'BD SuministroMontaje'!$A$1:$D$105,4,0)</f>
        <v>3.6409040011469713</v>
      </c>
      <c r="J90" s="655">
        <f>+J86+J88</f>
        <v>632.33812149110599</v>
      </c>
      <c r="K90" s="646">
        <f t="shared" si="62"/>
        <v>2302.2823966147275</v>
      </c>
      <c r="L90" s="657">
        <v>0.12</v>
      </c>
      <c r="M90" s="657">
        <v>0</v>
      </c>
      <c r="N90" s="657">
        <v>0.53</v>
      </c>
      <c r="O90" s="657">
        <v>0.35</v>
      </c>
      <c r="P90" s="650">
        <f t="shared" si="63"/>
        <v>224.30832560571145</v>
      </c>
      <c r="Q90" s="650">
        <f t="shared" si="64"/>
        <v>0</v>
      </c>
      <c r="R90" s="650">
        <f t="shared" si="65"/>
        <v>1277.8594461415496</v>
      </c>
      <c r="S90" s="650">
        <f t="shared" si="66"/>
        <v>871.26717274612201</v>
      </c>
      <c r="T90" s="768">
        <f>+fac_iAcero</f>
        <v>1</v>
      </c>
      <c r="U90" s="768"/>
      <c r="V90" s="768">
        <f>fac_mano_obra</f>
        <v>1</v>
      </c>
      <c r="W90" s="769">
        <f>fac_iObraCivil</f>
        <v>1</v>
      </c>
      <c r="X90" s="761">
        <f>$K90*L90*$D90*0.811905633063426</f>
        <v>224.30832560571145</v>
      </c>
      <c r="Y90" s="762"/>
      <c r="Z90" s="762">
        <f>$K90*N90*$D90*1.04724579500015</f>
        <v>1277.8594461415496</v>
      </c>
      <c r="AA90" s="763">
        <f>$K90*O90*$D90*1.0812464982293</f>
        <v>871.26717274612201</v>
      </c>
      <c r="AD90" s="741"/>
    </row>
    <row r="91" spans="1:30" outlineLevel="1">
      <c r="A91" s="615">
        <v>1</v>
      </c>
      <c r="B91" s="615">
        <v>1</v>
      </c>
      <c r="C91" s="615">
        <v>1</v>
      </c>
      <c r="D91" s="616">
        <f t="shared" si="53"/>
        <v>1</v>
      </c>
      <c r="E91" s="89" t="s">
        <v>526</v>
      </c>
      <c r="F91" s="95" t="s">
        <v>638</v>
      </c>
      <c r="G91" s="96" t="s">
        <v>639</v>
      </c>
      <c r="H91" s="97" t="s">
        <v>504</v>
      </c>
      <c r="I91" s="645">
        <f>VLOOKUP($G91,'BD SuministroMontaje'!$A$1:$D$105,4,0)</f>
        <v>7.0691466869443254</v>
      </c>
      <c r="J91" s="655">
        <f>+J87+J89</f>
        <v>12646.76242982212</v>
      </c>
      <c r="K91" s="646">
        <f t="shared" si="62"/>
        <v>89401.818731349005</v>
      </c>
      <c r="L91" s="657">
        <v>0.12</v>
      </c>
      <c r="M91" s="657">
        <v>0</v>
      </c>
      <c r="N91" s="657">
        <v>0.53</v>
      </c>
      <c r="O91" s="657">
        <v>0.35</v>
      </c>
      <c r="P91" s="650">
        <f t="shared" si="63"/>
        <v>8710.3008280917093</v>
      </c>
      <c r="Q91" s="650">
        <f t="shared" si="64"/>
        <v>0</v>
      </c>
      <c r="R91" s="650">
        <f t="shared" si="65"/>
        <v>49621.609727838571</v>
      </c>
      <c r="S91" s="650">
        <f t="shared" si="66"/>
        <v>33832.891203510611</v>
      </c>
      <c r="T91" s="768">
        <f>+fac_iAcero</f>
        <v>1</v>
      </c>
      <c r="U91" s="768"/>
      <c r="V91" s="768">
        <f>fac_mano_obra</f>
        <v>1</v>
      </c>
      <c r="W91" s="769">
        <f>fac_iObraCivil</f>
        <v>1</v>
      </c>
      <c r="X91" s="761">
        <f>$K91*L91*$D91*0.811905633063426</f>
        <v>8710.3008280917093</v>
      </c>
      <c r="Y91" s="762"/>
      <c r="Z91" s="762">
        <f>$K91*N91*$D91*1.04724579500015</f>
        <v>49621.609727838571</v>
      </c>
      <c r="AA91" s="763">
        <f>$K91*O91*$D91*1.0812464982293</f>
        <v>33832.891203510611</v>
      </c>
      <c r="AD91" s="741"/>
    </row>
    <row r="92" spans="1:30" outlineLevel="1">
      <c r="A92" s="615">
        <v>1</v>
      </c>
      <c r="B92" s="615">
        <v>1</v>
      </c>
      <c r="C92" s="615">
        <v>1</v>
      </c>
      <c r="D92" s="616">
        <f t="shared" si="53"/>
        <v>1</v>
      </c>
      <c r="E92" s="89" t="s">
        <v>526</v>
      </c>
      <c r="F92" s="95" t="s">
        <v>640</v>
      </c>
      <c r="G92" s="96" t="s">
        <v>641</v>
      </c>
      <c r="H92" s="97" t="s">
        <v>504</v>
      </c>
      <c r="I92" s="645">
        <f>VLOOKUP($G92,'BD SuministroMontaje'!$A$1:$D$105,4,0)</f>
        <v>4.2646597110433992</v>
      </c>
      <c r="J92" s="655">
        <f>+J16</f>
        <v>29.165509259207642</v>
      </c>
      <c r="K92" s="646">
        <f t="shared" si="62"/>
        <v>124.38097228980605</v>
      </c>
      <c r="L92" s="657">
        <v>0.12</v>
      </c>
      <c r="M92" s="657">
        <v>0</v>
      </c>
      <c r="N92" s="657">
        <v>0.53</v>
      </c>
      <c r="O92" s="657">
        <v>0.35</v>
      </c>
      <c r="P92" s="650">
        <f t="shared" si="63"/>
        <v>12.118273445759932</v>
      </c>
      <c r="Q92" s="650">
        <f t="shared" si="64"/>
        <v>0</v>
      </c>
      <c r="R92" s="650">
        <f t="shared" si="65"/>
        <v>69.036448610520665</v>
      </c>
      <c r="S92" s="650">
        <f t="shared" si="66"/>
        <v>47.070271757147935</v>
      </c>
      <c r="T92" s="768">
        <f>+fac_iAcero</f>
        <v>1</v>
      </c>
      <c r="U92" s="768"/>
      <c r="V92" s="768">
        <f>fac_mano_obra</f>
        <v>1</v>
      </c>
      <c r="W92" s="769">
        <f>fac_iObraCivil</f>
        <v>1</v>
      </c>
      <c r="X92" s="761">
        <f>$K92*L92*$D92*0.811905633063426</f>
        <v>12.118273445759932</v>
      </c>
      <c r="Y92" s="762"/>
      <c r="Z92" s="762">
        <f>$K92*N92*$D92*1.04724579500015</f>
        <v>69.036448610520665</v>
      </c>
      <c r="AA92" s="763">
        <f>$K92*O92*$D92*1.0812464982293</f>
        <v>47.070271757147935</v>
      </c>
      <c r="AD92" s="741"/>
    </row>
    <row r="93" spans="1:30" outlineLevel="1">
      <c r="A93" s="615">
        <v>1</v>
      </c>
      <c r="B93" s="615">
        <v>1</v>
      </c>
      <c r="C93" s="615">
        <v>1</v>
      </c>
      <c r="D93" s="616">
        <f t="shared" si="53"/>
        <v>1</v>
      </c>
      <c r="E93" s="89" t="s">
        <v>526</v>
      </c>
      <c r="F93" s="95" t="s">
        <v>642</v>
      </c>
      <c r="G93" s="96" t="s">
        <v>643</v>
      </c>
      <c r="H93" s="97" t="s">
        <v>504</v>
      </c>
      <c r="I93" s="645">
        <f>VLOOKUP($G93,'BD SuministroMontaje'!$A$1:$D$105,4,0)</f>
        <v>3.3941965492897688</v>
      </c>
      <c r="J93" s="655">
        <f>+J15</f>
        <v>583.31018518415283</v>
      </c>
      <c r="K93" s="646">
        <f t="shared" si="62"/>
        <v>1979.8694177176276</v>
      </c>
      <c r="L93" s="657">
        <v>0.12</v>
      </c>
      <c r="M93" s="657">
        <v>0</v>
      </c>
      <c r="N93" s="657">
        <v>0.53</v>
      </c>
      <c r="O93" s="657">
        <v>0.35</v>
      </c>
      <c r="P93" s="650">
        <f t="shared" si="63"/>
        <v>192.89605595699365</v>
      </c>
      <c r="Q93" s="650">
        <f t="shared" si="64"/>
        <v>0</v>
      </c>
      <c r="R93" s="650">
        <f t="shared" si="65"/>
        <v>1098.9072588477159</v>
      </c>
      <c r="S93" s="650">
        <f t="shared" si="66"/>
        <v>749.25440620046379</v>
      </c>
      <c r="T93" s="768">
        <f>+fac_iAcero</f>
        <v>1</v>
      </c>
      <c r="U93" s="768"/>
      <c r="V93" s="768">
        <f>fac_mano_obra</f>
        <v>1</v>
      </c>
      <c r="W93" s="769">
        <f>fac_iObraCivil</f>
        <v>1</v>
      </c>
      <c r="X93" s="761">
        <f>$K93*L93*$D93*0.811905633063426</f>
        <v>192.89605595699365</v>
      </c>
      <c r="Y93" s="762"/>
      <c r="Z93" s="762">
        <f>$K93*N93*$D93*1.04724579500015</f>
        <v>1098.9072588477159</v>
      </c>
      <c r="AA93" s="763">
        <f>$K93*O93*$D93*1.0812464982293</f>
        <v>749.25440620046379</v>
      </c>
      <c r="AD93" s="741"/>
    </row>
    <row r="94" spans="1:30" outlineLevel="1">
      <c r="A94" s="615">
        <v>1</v>
      </c>
      <c r="B94" s="615">
        <v>1</v>
      </c>
      <c r="C94" s="615">
        <v>1</v>
      </c>
      <c r="D94" s="616">
        <f t="shared" si="53"/>
        <v>1</v>
      </c>
      <c r="E94" s="89" t="s">
        <v>526</v>
      </c>
      <c r="F94" s="95" t="s">
        <v>644</v>
      </c>
      <c r="G94" s="96" t="s">
        <v>645</v>
      </c>
      <c r="H94" s="119" t="s">
        <v>513</v>
      </c>
      <c r="I94" s="645">
        <f>VLOOKUP($G94,'BD SuministroMontaje'!$A$1:$D$105,4,0)</f>
        <v>470.03994432113723</v>
      </c>
      <c r="J94" s="118">
        <v>1</v>
      </c>
      <c r="K94" s="646">
        <f t="shared" si="62"/>
        <v>470.03994432113723</v>
      </c>
      <c r="L94" s="657">
        <v>0.12</v>
      </c>
      <c r="M94" s="657">
        <v>0</v>
      </c>
      <c r="N94" s="657">
        <v>0.53</v>
      </c>
      <c r="O94" s="657">
        <v>0.35</v>
      </c>
      <c r="P94" s="650">
        <f t="shared" si="63"/>
        <v>69.17209576826896</v>
      </c>
      <c r="Q94" s="650">
        <f t="shared" si="64"/>
        <v>0</v>
      </c>
      <c r="R94" s="650">
        <f t="shared" si="65"/>
        <v>260.89109824138023</v>
      </c>
      <c r="S94" s="650">
        <f t="shared" si="66"/>
        <v>177.88016533879363</v>
      </c>
      <c r="T94" s="768">
        <f>+fac_iInstControl</f>
        <v>1</v>
      </c>
      <c r="U94" s="768"/>
      <c r="V94" s="768">
        <f>fac_mano_obra</f>
        <v>1</v>
      </c>
      <c r="W94" s="769">
        <f>fac_iObraCivil</f>
        <v>1</v>
      </c>
      <c r="X94" s="761">
        <f>$K94*L94*$D94*1.22635137367903</f>
        <v>69.17209576826896</v>
      </c>
      <c r="Y94" s="762"/>
      <c r="Z94" s="762">
        <f>$K94*N94*$D94*1.04724579500015</f>
        <v>260.89109824138023</v>
      </c>
      <c r="AA94" s="763">
        <f>$K94*O94*$D94*1.0812464982293</f>
        <v>177.88016533879363</v>
      </c>
      <c r="AD94" s="741"/>
    </row>
    <row r="95" spans="1:30">
      <c r="A95" s="615">
        <v>1</v>
      </c>
      <c r="B95" s="615">
        <v>1</v>
      </c>
      <c r="C95" s="615">
        <v>1</v>
      </c>
      <c r="D95" s="616">
        <f t="shared" si="53"/>
        <v>1</v>
      </c>
      <c r="E95" s="89"/>
      <c r="F95" s="95">
        <v>7.4</v>
      </c>
      <c r="G95" s="109" t="s">
        <v>646</v>
      </c>
      <c r="H95" s="122"/>
      <c r="I95" s="111"/>
      <c r="J95" s="111"/>
      <c r="K95" s="111"/>
      <c r="L95" s="112"/>
      <c r="M95" s="112"/>
      <c r="N95" s="112"/>
      <c r="O95" s="112"/>
      <c r="P95" s="113"/>
      <c r="Q95" s="113"/>
      <c r="R95" s="113"/>
      <c r="S95" s="113"/>
      <c r="T95" s="770"/>
      <c r="U95" s="770"/>
      <c r="V95" s="770"/>
      <c r="W95" s="771"/>
      <c r="X95" s="759"/>
      <c r="Y95" s="113"/>
      <c r="Z95" s="113"/>
      <c r="AA95" s="760"/>
      <c r="AD95" s="741"/>
    </row>
    <row r="96" spans="1:30" outlineLevel="1">
      <c r="A96" s="615">
        <v>1</v>
      </c>
      <c r="B96" s="615">
        <v>1</v>
      </c>
      <c r="C96" s="615">
        <v>1</v>
      </c>
      <c r="D96" s="616">
        <f t="shared" si="53"/>
        <v>1</v>
      </c>
      <c r="E96" s="89" t="s">
        <v>526</v>
      </c>
      <c r="F96" s="95" t="s">
        <v>647</v>
      </c>
      <c r="G96" s="96" t="s">
        <v>648</v>
      </c>
      <c r="H96" s="122" t="s">
        <v>515</v>
      </c>
      <c r="I96" s="645">
        <f>VLOOKUP($G96,'BD SuministroMontaje'!$A$1:$D$105,4,0)</f>
        <v>28.04995127192084</v>
      </c>
      <c r="J96" s="649">
        <f>+J97*0.15</f>
        <v>39.979912500573761</v>
      </c>
      <c r="K96" s="646">
        <f>I96*J96</f>
        <v>1121.4345974967528</v>
      </c>
      <c r="L96" s="657">
        <v>0.12</v>
      </c>
      <c r="M96" s="657">
        <v>0</v>
      </c>
      <c r="N96" s="657">
        <v>0.53</v>
      </c>
      <c r="O96" s="657">
        <v>0.35</v>
      </c>
      <c r="P96" s="650">
        <f t="shared" ref="P96:P97" si="68">X96*T96</f>
        <v>152.02087094432636</v>
      </c>
      <c r="Q96" s="650">
        <f t="shared" ref="Q96:Q97" si="69">Y96*U96</f>
        <v>0</v>
      </c>
      <c r="R96" s="650">
        <f t="shared" ref="R96:R97" si="70">Z96*V96</f>
        <v>622.44136329596483</v>
      </c>
      <c r="S96" s="650">
        <f t="shared" ref="S96:S97" si="71">AA96*W96</f>
        <v>424.39153103779188</v>
      </c>
      <c r="T96" s="768">
        <f>(ipc/ipc_base)*(trm_base/trm_calculo)</f>
        <v>1</v>
      </c>
      <c r="U96" s="768"/>
      <c r="V96" s="768">
        <f>fac_mano_obra</f>
        <v>1</v>
      </c>
      <c r="W96" s="769">
        <f>fac_iObraCivil</f>
        <v>1</v>
      </c>
      <c r="X96" s="761">
        <f>$K96*L96*$D96*1.12966069892131</f>
        <v>152.02087094432636</v>
      </c>
      <c r="Y96" s="762"/>
      <c r="Z96" s="762">
        <f>$K96*N96*$D96*1.04724579500015</f>
        <v>622.44136329596483</v>
      </c>
      <c r="AA96" s="763">
        <f>$K96*O96*$D96*1.0812464982293</f>
        <v>424.39153103779188</v>
      </c>
      <c r="AD96" s="741"/>
    </row>
    <row r="97" spans="1:30" outlineLevel="1">
      <c r="A97" s="615">
        <v>1</v>
      </c>
      <c r="B97" s="615">
        <v>1</v>
      </c>
      <c r="C97" s="615">
        <v>1</v>
      </c>
      <c r="D97" s="616">
        <f t="shared" si="53"/>
        <v>1</v>
      </c>
      <c r="E97" s="89" t="s">
        <v>526</v>
      </c>
      <c r="F97" s="95" t="s">
        <v>649</v>
      </c>
      <c r="G97" s="96" t="s">
        <v>650</v>
      </c>
      <c r="H97" s="122" t="s">
        <v>515</v>
      </c>
      <c r="I97" s="645">
        <f>VLOOKUP($G97,'BD SuministroMontaje'!$A$1:$D$105,4,0)</f>
        <v>25.45837968701511</v>
      </c>
      <c r="J97" s="649">
        <f>FDHidro*SQRT(J6)</f>
        <v>266.53275000382507</v>
      </c>
      <c r="K97" s="646">
        <f>I97*J97</f>
        <v>6785.4919486216568</v>
      </c>
      <c r="L97" s="657">
        <v>0.12</v>
      </c>
      <c r="M97" s="657">
        <v>0</v>
      </c>
      <c r="N97" s="657">
        <v>0.53</v>
      </c>
      <c r="O97" s="657">
        <v>0.35</v>
      </c>
      <c r="P97" s="650">
        <f t="shared" si="68"/>
        <v>919.83642926458344</v>
      </c>
      <c r="Q97" s="650">
        <f t="shared" si="69"/>
        <v>0</v>
      </c>
      <c r="R97" s="650">
        <f t="shared" si="70"/>
        <v>3766.2212924067439</v>
      </c>
      <c r="S97" s="650">
        <f t="shared" si="71"/>
        <v>2567.8762928735964</v>
      </c>
      <c r="T97" s="768">
        <f>(ipc/ipc_base)*(trm_base/trm_calculo)</f>
        <v>1</v>
      </c>
      <c r="U97" s="768"/>
      <c r="V97" s="768">
        <f>fac_mano_obra</f>
        <v>1</v>
      </c>
      <c r="W97" s="769">
        <f>fac_iObraCivil</f>
        <v>1</v>
      </c>
      <c r="X97" s="761">
        <f>$K97*L97*$D97*1.12966069892131</f>
        <v>919.83642926458344</v>
      </c>
      <c r="Y97" s="762"/>
      <c r="Z97" s="762">
        <f>$K97*N97*$D97*1.04724579500015</f>
        <v>3766.2212924067439</v>
      </c>
      <c r="AA97" s="763">
        <f>$K97*O97*$D97*1.0812464982293</f>
        <v>2567.8762928735964</v>
      </c>
      <c r="AD97" s="741"/>
    </row>
    <row r="98" spans="1:30">
      <c r="A98" s="615">
        <v>1</v>
      </c>
      <c r="B98" s="615">
        <v>1</v>
      </c>
      <c r="C98" s="615">
        <v>1</v>
      </c>
      <c r="D98" s="616">
        <f t="shared" si="53"/>
        <v>1</v>
      </c>
      <c r="E98" s="89"/>
      <c r="F98" s="95">
        <v>7.5</v>
      </c>
      <c r="G98" s="109" t="s">
        <v>651</v>
      </c>
      <c r="H98" s="122"/>
      <c r="I98" s="111"/>
      <c r="J98" s="123"/>
      <c r="K98" s="111"/>
      <c r="L98" s="112"/>
      <c r="M98" s="112"/>
      <c r="N98" s="112"/>
      <c r="O98" s="112"/>
      <c r="P98" s="113"/>
      <c r="Q98" s="113"/>
      <c r="R98" s="113"/>
      <c r="S98" s="113"/>
      <c r="T98" s="770"/>
      <c r="U98" s="770"/>
      <c r="V98" s="770"/>
      <c r="W98" s="771"/>
      <c r="X98" s="759"/>
      <c r="Y98" s="113"/>
      <c r="Z98" s="113"/>
      <c r="AA98" s="760"/>
      <c r="AD98" s="741"/>
    </row>
    <row r="99" spans="1:30" outlineLevel="1">
      <c r="A99" s="615">
        <v>1</v>
      </c>
      <c r="B99" s="615">
        <v>1</v>
      </c>
      <c r="C99" s="615">
        <v>1</v>
      </c>
      <c r="D99" s="616">
        <f t="shared" si="53"/>
        <v>1</v>
      </c>
      <c r="E99" s="89" t="s">
        <v>526</v>
      </c>
      <c r="F99" s="95" t="s">
        <v>652</v>
      </c>
      <c r="G99" s="96" t="s">
        <v>653</v>
      </c>
      <c r="H99" s="97" t="s">
        <v>497</v>
      </c>
      <c r="I99" s="645">
        <f>VLOOKUP($G99,'BD SuministroMontaje'!$A$1:$D$105,4,0)</f>
        <v>23.987729422550021</v>
      </c>
      <c r="J99" s="649">
        <f>FDPint*SQRT(J6)</f>
        <v>54.500193424270002</v>
      </c>
      <c r="K99" s="646">
        <f>I99*J99</f>
        <v>1307.3358933380287</v>
      </c>
      <c r="L99" s="657">
        <v>0.35</v>
      </c>
      <c r="M99" s="657">
        <v>0</v>
      </c>
      <c r="N99" s="657">
        <v>0.35</v>
      </c>
      <c r="O99" s="657">
        <v>0.3</v>
      </c>
      <c r="P99" s="650">
        <f>X99*T99</f>
        <v>641.6496715957536</v>
      </c>
      <c r="Q99" s="650">
        <f t="shared" ref="Q99" si="72">Y99*U99</f>
        <v>0</v>
      </c>
      <c r="R99" s="650">
        <f t="shared" ref="R99" si="73">Z99*V99</f>
        <v>479.18570593285523</v>
      </c>
      <c r="S99" s="650">
        <f t="shared" ref="S99" si="74">AA99*W99</f>
        <v>424.06570700436509</v>
      </c>
      <c r="T99" s="772">
        <f>+ipc/ipc_base*(trm_calculo/trm_base)</f>
        <v>1</v>
      </c>
      <c r="U99" s="772"/>
      <c r="V99" s="772">
        <f>fac_mano_obra</f>
        <v>1</v>
      </c>
      <c r="W99" s="773">
        <f>fac_iObraCivil</f>
        <v>1</v>
      </c>
      <c r="X99" s="761">
        <f>$K99*L99*$D99*1.40230585370599</f>
        <v>641.6496715957536</v>
      </c>
      <c r="Y99" s="762"/>
      <c r="Z99" s="762">
        <f>$K99*N99*$D99*1.04724579500015</f>
        <v>479.18570593285523</v>
      </c>
      <c r="AA99" s="763">
        <f>$K99*O99*$D99*1.0812464982293</f>
        <v>424.06570700436509</v>
      </c>
      <c r="AD99" s="741"/>
    </row>
    <row r="100" spans="1:30">
      <c r="A100" s="615">
        <v>1</v>
      </c>
      <c r="B100" s="615">
        <v>1</v>
      </c>
      <c r="C100" s="615">
        <v>1</v>
      </c>
      <c r="D100" s="616">
        <f t="shared" si="53"/>
        <v>1</v>
      </c>
      <c r="E100" s="89"/>
      <c r="F100" s="95">
        <v>7.6</v>
      </c>
      <c r="G100" s="109" t="s">
        <v>654</v>
      </c>
      <c r="H100" s="124"/>
      <c r="I100" s="111"/>
      <c r="J100" s="123"/>
      <c r="K100" s="111"/>
      <c r="L100" s="112"/>
      <c r="M100" s="112"/>
      <c r="N100" s="112"/>
      <c r="O100" s="112"/>
      <c r="P100" s="113"/>
      <c r="Q100" s="113"/>
      <c r="R100" s="113"/>
      <c r="S100" s="113"/>
      <c r="T100" s="770"/>
      <c r="U100" s="770"/>
      <c r="V100" s="770"/>
      <c r="W100" s="771"/>
      <c r="X100" s="759"/>
      <c r="Y100" s="113"/>
      <c r="Z100" s="113"/>
      <c r="AA100" s="760"/>
      <c r="AD100" s="741"/>
    </row>
    <row r="101" spans="1:30" outlineLevel="1">
      <c r="A101" s="615">
        <v>1</v>
      </c>
      <c r="B101" s="615">
        <v>1</v>
      </c>
      <c r="C101" s="615">
        <v>1</v>
      </c>
      <c r="D101" s="616">
        <f t="shared" ref="D101:D110" si="75">IF(TipoTecho="Geodésico",A101,IF(TipoTecho="Flotante",B101,C101))</f>
        <v>1</v>
      </c>
      <c r="E101" s="89" t="s">
        <v>502</v>
      </c>
      <c r="F101" s="95" t="s">
        <v>655</v>
      </c>
      <c r="G101" s="96" t="s">
        <v>656</v>
      </c>
      <c r="H101" s="124" t="s">
        <v>513</v>
      </c>
      <c r="I101" s="645">
        <f>VLOOKUP($G101,'BD SuministroMontaje'!$A$1:$D$105,4,0)</f>
        <v>410.67639345006575</v>
      </c>
      <c r="J101" s="656">
        <v>4</v>
      </c>
      <c r="K101" s="646">
        <f>I101*J101</f>
        <v>1642.705573800263</v>
      </c>
      <c r="L101" s="657">
        <v>0</v>
      </c>
      <c r="M101" s="657">
        <v>1</v>
      </c>
      <c r="N101" s="657">
        <v>0</v>
      </c>
      <c r="O101" s="657">
        <v>0</v>
      </c>
      <c r="P101" s="650">
        <f t="shared" ref="P101:P104" si="76">X101*T101</f>
        <v>0</v>
      </c>
      <c r="Q101" s="650">
        <f t="shared" ref="Q101:Q104" si="77">Y101*U101</f>
        <v>1333.721908833121</v>
      </c>
      <c r="R101" s="650">
        <f t="shared" ref="R101:R104" si="78">Z101*V101</f>
        <v>0</v>
      </c>
      <c r="S101" s="650">
        <f t="shared" ref="S101:S104" si="79">AA101*W101</f>
        <v>0</v>
      </c>
      <c r="T101" s="768"/>
      <c r="U101" s="768">
        <f>+fac_iAcero</f>
        <v>1</v>
      </c>
      <c r="V101" s="768"/>
      <c r="W101" s="769"/>
      <c r="X101" s="761"/>
      <c r="Y101" s="762">
        <f>$K101*M101*$D101*0.811905633063426</f>
        <v>1333.721908833121</v>
      </c>
      <c r="Z101" s="762"/>
      <c r="AA101" s="763"/>
      <c r="AD101" s="741"/>
    </row>
    <row r="102" spans="1:30" outlineLevel="1">
      <c r="A102" s="615">
        <v>1</v>
      </c>
      <c r="B102" s="615">
        <v>1</v>
      </c>
      <c r="C102" s="615">
        <v>1</v>
      </c>
      <c r="D102" s="616">
        <f t="shared" si="75"/>
        <v>1</v>
      </c>
      <c r="E102" s="89" t="s">
        <v>502</v>
      </c>
      <c r="F102" s="95" t="s">
        <v>657</v>
      </c>
      <c r="G102" s="96" t="s">
        <v>658</v>
      </c>
      <c r="H102" s="124" t="s">
        <v>513</v>
      </c>
      <c r="I102" s="645">
        <f>VLOOKUP($G102,'BD SuministroMontaje'!$A$1:$D$105,4,0)</f>
        <v>999.45224324326909</v>
      </c>
      <c r="J102" s="646">
        <f>ROUNDUP(FDKit1*Diametro,0)</f>
        <v>1</v>
      </c>
      <c r="K102" s="646">
        <f>I102*J102</f>
        <v>999.45224324326909</v>
      </c>
      <c r="L102" s="657">
        <v>0</v>
      </c>
      <c r="M102" s="657">
        <v>1</v>
      </c>
      <c r="N102" s="657">
        <v>0</v>
      </c>
      <c r="O102" s="657">
        <v>0</v>
      </c>
      <c r="P102" s="650">
        <f t="shared" si="76"/>
        <v>0</v>
      </c>
      <c r="Q102" s="650">
        <f t="shared" si="77"/>
        <v>811.46090626708758</v>
      </c>
      <c r="R102" s="650">
        <f t="shared" si="78"/>
        <v>0</v>
      </c>
      <c r="S102" s="650">
        <f t="shared" si="79"/>
        <v>0</v>
      </c>
      <c r="T102" s="768"/>
      <c r="U102" s="768">
        <f>+fac_iAcero</f>
        <v>1</v>
      </c>
      <c r="V102" s="768"/>
      <c r="W102" s="769"/>
      <c r="X102" s="761"/>
      <c r="Y102" s="762">
        <f>$K102*M102*$D102*0.811905633063426</f>
        <v>811.46090626708758</v>
      </c>
      <c r="Z102" s="762"/>
      <c r="AA102" s="763"/>
      <c r="AD102" s="741"/>
    </row>
    <row r="103" spans="1:30" outlineLevel="1">
      <c r="A103" s="615">
        <v>1</v>
      </c>
      <c r="B103" s="615">
        <v>1</v>
      </c>
      <c r="C103" s="615">
        <v>1</v>
      </c>
      <c r="D103" s="616">
        <f t="shared" si="75"/>
        <v>1</v>
      </c>
      <c r="E103" s="89" t="s">
        <v>502</v>
      </c>
      <c r="F103" s="95" t="s">
        <v>659</v>
      </c>
      <c r="G103" s="96" t="s">
        <v>660</v>
      </c>
      <c r="H103" s="124" t="s">
        <v>513</v>
      </c>
      <c r="I103" s="645">
        <f>VLOOKUP($G103,'BD SuministroMontaje'!$A$1:$D$105,4,0)</f>
        <v>2346.7222482860857</v>
      </c>
      <c r="J103" s="646">
        <f>ROUNDUP(FDKit2*Diametro,0)</f>
        <v>1</v>
      </c>
      <c r="K103" s="646">
        <f>I103*J103</f>
        <v>2346.7222482860857</v>
      </c>
      <c r="L103" s="657">
        <v>0</v>
      </c>
      <c r="M103" s="657">
        <v>1</v>
      </c>
      <c r="N103" s="657">
        <v>0</v>
      </c>
      <c r="O103" s="657">
        <v>0</v>
      </c>
      <c r="P103" s="650">
        <f t="shared" si="76"/>
        <v>0</v>
      </c>
      <c r="Q103" s="650">
        <f t="shared" si="77"/>
        <v>1905.3170126187408</v>
      </c>
      <c r="R103" s="650">
        <f t="shared" si="78"/>
        <v>0</v>
      </c>
      <c r="S103" s="650">
        <f t="shared" si="79"/>
        <v>0</v>
      </c>
      <c r="T103" s="768"/>
      <c r="U103" s="768">
        <f>+fac_iAcero</f>
        <v>1</v>
      </c>
      <c r="V103" s="768"/>
      <c r="W103" s="769"/>
      <c r="X103" s="761"/>
      <c r="Y103" s="762">
        <f>$K103*M103*$D103*0.811905633063426</f>
        <v>1905.3170126187408</v>
      </c>
      <c r="Z103" s="762"/>
      <c r="AA103" s="763"/>
      <c r="AD103" s="741"/>
    </row>
    <row r="104" spans="1:30" outlineLevel="1">
      <c r="A104" s="615">
        <v>1</v>
      </c>
      <c r="B104" s="615">
        <v>1</v>
      </c>
      <c r="C104" s="615">
        <v>1</v>
      </c>
      <c r="D104" s="616">
        <f t="shared" si="75"/>
        <v>1</v>
      </c>
      <c r="E104" s="89" t="s">
        <v>502</v>
      </c>
      <c r="F104" s="95" t="s">
        <v>661</v>
      </c>
      <c r="G104" s="96" t="s">
        <v>662</v>
      </c>
      <c r="H104" s="124" t="s">
        <v>513</v>
      </c>
      <c r="I104" s="645">
        <f>VLOOKUP($G104,'BD SuministroMontaje'!$A$1:$D$105,4,0)</f>
        <v>6788.7322182561684</v>
      </c>
      <c r="J104" s="646">
        <f>ROUNDDOWN(FDKit3*Diametro,0)</f>
        <v>0</v>
      </c>
      <c r="K104" s="646">
        <f>I104*J104</f>
        <v>0</v>
      </c>
      <c r="L104" s="657">
        <v>0</v>
      </c>
      <c r="M104" s="657">
        <v>1</v>
      </c>
      <c r="N104" s="657">
        <v>0</v>
      </c>
      <c r="O104" s="657">
        <v>0</v>
      </c>
      <c r="P104" s="650">
        <f t="shared" si="76"/>
        <v>0</v>
      </c>
      <c r="Q104" s="650">
        <f t="shared" si="77"/>
        <v>0</v>
      </c>
      <c r="R104" s="650">
        <f t="shared" si="78"/>
        <v>0</v>
      </c>
      <c r="S104" s="650">
        <f t="shared" si="79"/>
        <v>0</v>
      </c>
      <c r="T104" s="768"/>
      <c r="U104" s="768">
        <f>+fac_iAcero</f>
        <v>1</v>
      </c>
      <c r="V104" s="768"/>
      <c r="W104" s="769"/>
      <c r="X104" s="761"/>
      <c r="Y104" s="762">
        <f>$K104*M104*$D104*0.811905633063426</f>
        <v>0</v>
      </c>
      <c r="Z104" s="762"/>
      <c r="AA104" s="763"/>
      <c r="AD104" s="741"/>
    </row>
    <row r="105" spans="1:30">
      <c r="A105" s="615">
        <v>1</v>
      </c>
      <c r="B105" s="615">
        <v>1</v>
      </c>
      <c r="C105" s="615">
        <v>1</v>
      </c>
      <c r="D105" s="616">
        <f t="shared" si="75"/>
        <v>1</v>
      </c>
      <c r="E105" s="89"/>
      <c r="F105" s="95">
        <v>7.7</v>
      </c>
      <c r="G105" s="109" t="s">
        <v>663</v>
      </c>
      <c r="H105" s="122"/>
      <c r="I105" s="111"/>
      <c r="J105" s="123"/>
      <c r="K105" s="111"/>
      <c r="L105" s="112"/>
      <c r="M105" s="112"/>
      <c r="N105" s="112"/>
      <c r="O105" s="112"/>
      <c r="P105" s="113"/>
      <c r="Q105" s="113"/>
      <c r="R105" s="113"/>
      <c r="S105" s="113"/>
      <c r="T105" s="770"/>
      <c r="U105" s="770"/>
      <c r="V105" s="770"/>
      <c r="W105" s="771"/>
      <c r="X105" s="759"/>
      <c r="Y105" s="113"/>
      <c r="Z105" s="113"/>
      <c r="AA105" s="760"/>
      <c r="AD105" s="741"/>
    </row>
    <row r="106" spans="1:30" outlineLevel="1">
      <c r="A106" s="615">
        <v>1</v>
      </c>
      <c r="B106" s="615">
        <v>1</v>
      </c>
      <c r="C106" s="615">
        <v>1</v>
      </c>
      <c r="D106" s="616">
        <f t="shared" si="75"/>
        <v>1</v>
      </c>
      <c r="E106" s="89" t="s">
        <v>526</v>
      </c>
      <c r="F106" s="95" t="s">
        <v>664</v>
      </c>
      <c r="G106" s="96" t="s">
        <v>663</v>
      </c>
      <c r="H106" s="124" t="s">
        <v>504</v>
      </c>
      <c r="I106" s="645">
        <f>VLOOKUP($G106,'BD SuministroMontaje'!$A$1:$D$105,4,0)</f>
        <v>6.478928962264324</v>
      </c>
      <c r="J106" s="655">
        <f>+J87*0.05</f>
        <v>574.85283771918728</v>
      </c>
      <c r="K106" s="646">
        <f>I106*J106</f>
        <v>3724.4306993386758</v>
      </c>
      <c r="L106" s="657">
        <v>0.35</v>
      </c>
      <c r="M106" s="657">
        <v>0</v>
      </c>
      <c r="N106" s="657">
        <v>0.4</v>
      </c>
      <c r="O106" s="657">
        <v>0.25</v>
      </c>
      <c r="P106" s="650">
        <f t="shared" ref="P106:P107" si="80">X106*T106</f>
        <v>1472.5700454146192</v>
      </c>
      <c r="Q106" s="650">
        <f t="shared" ref="Q106:Q107" si="81">Y106*U106</f>
        <v>0</v>
      </c>
      <c r="R106" s="650">
        <f t="shared" ref="R106:R107" si="82">Z106*V106</f>
        <v>1560.1577554607584</v>
      </c>
      <c r="S106" s="650">
        <f t="shared" ref="S106:S107" si="83">AA106*W106</f>
        <v>1006.7569128894115</v>
      </c>
      <c r="T106" s="768">
        <f>(ipc/ipc_base)*(trm_base/trm_calculo)</f>
        <v>1</v>
      </c>
      <c r="U106" s="768"/>
      <c r="V106" s="768">
        <f>fac_mano_obra</f>
        <v>1</v>
      </c>
      <c r="W106" s="769">
        <f>fac_iObraCivil</f>
        <v>1</v>
      </c>
      <c r="X106" s="761">
        <f>$K106*L106*$D106*1.12966069892131</f>
        <v>1472.5700454146192</v>
      </c>
      <c r="Y106" s="762"/>
      <c r="Z106" s="762">
        <f>$K106*N106*$D106*1.04724579500015</f>
        <v>1560.1577554607584</v>
      </c>
      <c r="AA106" s="763">
        <f>$K106*O106*$D106*1.0812464982293</f>
        <v>1006.7569128894115</v>
      </c>
      <c r="AD106" s="741"/>
    </row>
    <row r="107" spans="1:30" outlineLevel="1">
      <c r="A107" s="615">
        <v>1</v>
      </c>
      <c r="B107" s="615">
        <v>1</v>
      </c>
      <c r="C107" s="615">
        <v>1</v>
      </c>
      <c r="D107" s="616">
        <f t="shared" si="75"/>
        <v>1</v>
      </c>
      <c r="E107" s="89" t="s">
        <v>526</v>
      </c>
      <c r="F107" s="95" t="s">
        <v>665</v>
      </c>
      <c r="G107" s="96" t="s">
        <v>666</v>
      </c>
      <c r="H107" s="124" t="s">
        <v>497</v>
      </c>
      <c r="I107" s="645">
        <f>VLOOKUP($G107,'BD SuministroMontaje'!$A$1:$D$105,4,0)</f>
        <v>52.085507343693585</v>
      </c>
      <c r="J107" s="655">
        <f>0.02*J106</f>
        <v>11.497056754383745</v>
      </c>
      <c r="K107" s="646">
        <f>I107*J107</f>
        <v>598.83003401131646</v>
      </c>
      <c r="L107" s="657">
        <v>0.35</v>
      </c>
      <c r="M107" s="657">
        <v>0</v>
      </c>
      <c r="N107" s="657">
        <v>0.35</v>
      </c>
      <c r="O107" s="657">
        <v>0.3</v>
      </c>
      <c r="P107" s="650">
        <f t="shared" si="80"/>
        <v>236.76616416470347</v>
      </c>
      <c r="Q107" s="650">
        <f t="shared" si="81"/>
        <v>0</v>
      </c>
      <c r="R107" s="650">
        <f t="shared" si="82"/>
        <v>219.49278226335176</v>
      </c>
      <c r="S107" s="650">
        <f t="shared" si="83"/>
        <v>194.24486319278054</v>
      </c>
      <c r="T107" s="768">
        <f>(ipc/ipc_base)*(trm_base/trm_calculo)</f>
        <v>1</v>
      </c>
      <c r="U107" s="768"/>
      <c r="V107" s="768">
        <f>fac_mano_obra</f>
        <v>1</v>
      </c>
      <c r="W107" s="769">
        <f>fac_iObraCivil</f>
        <v>1</v>
      </c>
      <c r="X107" s="761">
        <f>$K107*L107*$D107*1.12966069892131</f>
        <v>236.76616416470347</v>
      </c>
      <c r="Y107" s="762"/>
      <c r="Z107" s="762">
        <f>$K107*N107*$D107*1.04724579500015</f>
        <v>219.49278226335176</v>
      </c>
      <c r="AA107" s="763">
        <f>$K107*O107*$D107*1.0812464982293</f>
        <v>194.24486319278054</v>
      </c>
      <c r="AD107" s="741"/>
    </row>
    <row r="108" spans="1:30">
      <c r="A108" s="615">
        <v>1</v>
      </c>
      <c r="B108" s="615">
        <v>1</v>
      </c>
      <c r="C108" s="615">
        <v>1</v>
      </c>
      <c r="D108" s="616">
        <f t="shared" si="75"/>
        <v>1</v>
      </c>
      <c r="E108" s="89"/>
      <c r="F108" s="90">
        <v>8</v>
      </c>
      <c r="G108" s="91" t="s">
        <v>667</v>
      </c>
      <c r="H108" s="92"/>
      <c r="I108" s="93"/>
      <c r="J108" s="93"/>
      <c r="K108" s="93"/>
      <c r="L108" s="94"/>
      <c r="M108" s="94"/>
      <c r="N108" s="94"/>
      <c r="O108" s="94"/>
      <c r="P108" s="94"/>
      <c r="Q108" s="94"/>
      <c r="R108" s="94"/>
      <c r="S108" s="94"/>
      <c r="T108" s="774"/>
      <c r="U108" s="774"/>
      <c r="V108" s="774"/>
      <c r="W108" s="775"/>
      <c r="X108" s="757"/>
      <c r="Y108" s="94"/>
      <c r="Z108" s="94"/>
      <c r="AA108" s="758"/>
      <c r="AD108" s="741"/>
    </row>
    <row r="109" spans="1:30" outlineLevel="1">
      <c r="A109" s="615">
        <v>1</v>
      </c>
      <c r="B109" s="615">
        <v>1</v>
      </c>
      <c r="C109" s="615">
        <v>1</v>
      </c>
      <c r="D109" s="616">
        <f t="shared" si="75"/>
        <v>1</v>
      </c>
      <c r="E109" s="89" t="s">
        <v>526</v>
      </c>
      <c r="F109" s="95">
        <v>8.1</v>
      </c>
      <c r="G109" s="96" t="s">
        <v>668</v>
      </c>
      <c r="H109" s="122" t="s">
        <v>513</v>
      </c>
      <c r="I109" s="645">
        <f>VLOOKUP($G109,'BD SuministroMontaje'!$A$1:$D$105,4,0)</f>
        <v>91025.903012066803</v>
      </c>
      <c r="J109" s="105">
        <v>1</v>
      </c>
      <c r="K109" s="646">
        <f>I109*J109</f>
        <v>91025.903012066803</v>
      </c>
      <c r="L109" s="657">
        <v>0.4</v>
      </c>
      <c r="M109" s="657">
        <v>0</v>
      </c>
      <c r="N109" s="657">
        <v>0.3</v>
      </c>
      <c r="O109" s="657">
        <v>0.3</v>
      </c>
      <c r="P109" s="650">
        <f t="shared" ref="P109:P110" si="84">X109*T109</f>
        <v>41131.354086621912</v>
      </c>
      <c r="Q109" s="650">
        <f t="shared" ref="Q109:Q110" si="85">Y109*U109</f>
        <v>0</v>
      </c>
      <c r="R109" s="650">
        <f t="shared" ref="R109:R110" si="86">Z109*V109</f>
        <v>28597.94824964353</v>
      </c>
      <c r="S109" s="650">
        <f t="shared" ref="S109:S110" si="87">AA109*W109</f>
        <v>29526.431663987136</v>
      </c>
      <c r="T109" s="768">
        <f>(ipc/ipc_base)*(trm_base/trm_calculo)</f>
        <v>1</v>
      </c>
      <c r="U109" s="768"/>
      <c r="V109" s="768">
        <f>fac_mano_obra</f>
        <v>1</v>
      </c>
      <c r="W109" s="769">
        <f>fac_iObraCivil</f>
        <v>1</v>
      </c>
      <c r="X109" s="761">
        <f>$K109*L109*$D109*1.12966069892131</f>
        <v>41131.354086621912</v>
      </c>
      <c r="Y109" s="762"/>
      <c r="Z109" s="762">
        <f>$K109*N109*$D109*1.04724579500015</f>
        <v>28597.94824964353</v>
      </c>
      <c r="AA109" s="763">
        <f>$K109*O109*$D109*1.0812464982293</f>
        <v>29526.431663987136</v>
      </c>
      <c r="AD109" s="741"/>
    </row>
    <row r="110" spans="1:30" outlineLevel="1">
      <c r="A110" s="615">
        <v>1</v>
      </c>
      <c r="B110" s="615">
        <v>1</v>
      </c>
      <c r="C110" s="615">
        <v>1</v>
      </c>
      <c r="D110" s="616">
        <f t="shared" si="75"/>
        <v>1</v>
      </c>
      <c r="E110" s="89" t="s">
        <v>526</v>
      </c>
      <c r="F110" s="95">
        <v>8.1999999999999993</v>
      </c>
      <c r="G110" s="96" t="s">
        <v>669</v>
      </c>
      <c r="H110" s="122" t="s">
        <v>513</v>
      </c>
      <c r="I110" s="645">
        <f>VLOOKUP($G110,'BD SuministroMontaje'!$A$1:$D$105,4,0)</f>
        <v>19115.432010264663</v>
      </c>
      <c r="J110" s="105">
        <v>1</v>
      </c>
      <c r="K110" s="646">
        <f>I110*J110</f>
        <v>19115.432010264663</v>
      </c>
      <c r="L110" s="657">
        <v>0</v>
      </c>
      <c r="M110" s="657">
        <v>0</v>
      </c>
      <c r="N110" s="657">
        <v>1</v>
      </c>
      <c r="O110" s="657">
        <v>0</v>
      </c>
      <c r="P110" s="650">
        <f t="shared" si="84"/>
        <v>0</v>
      </c>
      <c r="Q110" s="650">
        <f t="shared" si="85"/>
        <v>0</v>
      </c>
      <c r="R110" s="650">
        <f t="shared" si="86"/>
        <v>20018.55579236093</v>
      </c>
      <c r="S110" s="650">
        <f t="shared" si="87"/>
        <v>0</v>
      </c>
      <c r="T110" s="768"/>
      <c r="U110" s="768"/>
      <c r="V110" s="768">
        <f>fac_mano_obra</f>
        <v>1</v>
      </c>
      <c r="W110" s="769"/>
      <c r="X110" s="761"/>
      <c r="Y110" s="762"/>
      <c r="Z110" s="762">
        <f>$K110*N110*$D110*1.04724579500015</f>
        <v>20018.55579236093</v>
      </c>
      <c r="AA110" s="763"/>
      <c r="AD110" s="741"/>
    </row>
    <row r="111" spans="1:30" outlineLevel="1">
      <c r="A111" s="615"/>
      <c r="B111" s="615"/>
      <c r="C111" s="615"/>
      <c r="D111" s="616"/>
      <c r="E111" s="89"/>
      <c r="F111" s="95">
        <v>8.3000000000000007</v>
      </c>
      <c r="G111" s="96" t="s">
        <v>1159</v>
      </c>
      <c r="H111" s="122" t="s">
        <v>1165</v>
      </c>
      <c r="I111" s="645">
        <f>VLOOKUP(Capacidad,Regresiones!$A$68:$D$70,3,1)</f>
        <v>11331.66520689352</v>
      </c>
      <c r="J111" s="796">
        <f>VLOOKUP(Capacidad,Regresiones!$A$68:$D$70,2,1)</f>
        <v>2</v>
      </c>
      <c r="K111" s="653">
        <f>+J111*I111</f>
        <v>22663.33041378704</v>
      </c>
      <c r="L111" s="657">
        <f>1-O111</f>
        <v>0.7</v>
      </c>
      <c r="M111" s="657"/>
      <c r="N111" s="657"/>
      <c r="O111" s="657">
        <f>VLOOKUP(Capacidad,Regresiones!$A$68:$D$70,4,1)</f>
        <v>0.3</v>
      </c>
      <c r="P111" s="650">
        <f>+L111*K111*T111</f>
        <v>15864.331289650927</v>
      </c>
      <c r="Q111" s="650"/>
      <c r="R111" s="650"/>
      <c r="S111" s="650">
        <f>+K111*O111*W111</f>
        <v>6798.9991241361122</v>
      </c>
      <c r="T111" s="768">
        <f>(ipc/ipc_base)*(trm_base/trm_calculo)</f>
        <v>1</v>
      </c>
      <c r="U111" s="768"/>
      <c r="V111" s="768"/>
      <c r="W111" s="769">
        <f>fac_iObraCivil</f>
        <v>1</v>
      </c>
      <c r="X111" s="761"/>
      <c r="Y111" s="762"/>
      <c r="Z111" s="762"/>
      <c r="AA111" s="763"/>
      <c r="AD111" s="741"/>
    </row>
    <row r="112" spans="1:30" outlineLevel="1">
      <c r="A112" s="615"/>
      <c r="B112" s="615"/>
      <c r="C112" s="615"/>
      <c r="D112" s="616"/>
      <c r="E112" s="89"/>
      <c r="F112" s="95">
        <v>8.4</v>
      </c>
      <c r="G112" s="96" t="s">
        <v>1160</v>
      </c>
      <c r="H112" s="122" t="s">
        <v>1165</v>
      </c>
      <c r="I112" s="645">
        <f>Regresiones!E45*Capacidad^Regresiones!E46</f>
        <v>5092.4548537333721</v>
      </c>
      <c r="J112" s="107">
        <v>1</v>
      </c>
      <c r="K112" s="653">
        <f>I112*J112</f>
        <v>5092.4548537333721</v>
      </c>
      <c r="L112" s="657">
        <f>1-O112</f>
        <v>0.56000000000000005</v>
      </c>
      <c r="M112" s="657"/>
      <c r="N112" s="657"/>
      <c r="O112" s="657">
        <f>0.44</f>
        <v>0.44</v>
      </c>
      <c r="P112" s="650">
        <f>I112*L112*T112</f>
        <v>2851.7747180906886</v>
      </c>
      <c r="Q112" s="650"/>
      <c r="R112" s="650"/>
      <c r="S112" s="650">
        <f>W112*K112*O112</f>
        <v>2240.6801356426836</v>
      </c>
      <c r="T112" s="768">
        <f>(ipc/ipc_base)*(trm_base/trm_calculo)</f>
        <v>1</v>
      </c>
      <c r="U112" s="768"/>
      <c r="V112" s="768"/>
      <c r="W112" s="769">
        <f>fac_iObraCivil</f>
        <v>1</v>
      </c>
      <c r="X112" s="761"/>
      <c r="Y112" s="762"/>
      <c r="Z112" s="762"/>
      <c r="AA112" s="763"/>
      <c r="AD112" s="741"/>
    </row>
    <row r="113" spans="1:30">
      <c r="A113" s="615">
        <v>1</v>
      </c>
      <c r="B113" s="615">
        <v>1</v>
      </c>
      <c r="C113" s="615">
        <v>1</v>
      </c>
      <c r="D113" s="616">
        <f>IF(TipoTecho="Geodésico",A113,IF(TipoTecho="Flotante",B113,C113))</f>
        <v>1</v>
      </c>
      <c r="E113" s="89"/>
      <c r="F113" s="90">
        <v>9</v>
      </c>
      <c r="G113" s="91" t="s">
        <v>670</v>
      </c>
      <c r="H113" s="92"/>
      <c r="I113" s="93"/>
      <c r="J113" s="93"/>
      <c r="K113" s="93"/>
      <c r="L113" s="94"/>
      <c r="M113" s="94"/>
      <c r="N113" s="94"/>
      <c r="O113" s="94"/>
      <c r="P113" s="94"/>
      <c r="Q113" s="94"/>
      <c r="R113" s="94"/>
      <c r="S113" s="94"/>
      <c r="T113" s="774"/>
      <c r="U113" s="774"/>
      <c r="V113" s="774"/>
      <c r="W113" s="775"/>
      <c r="X113" s="757"/>
      <c r="Y113" s="94"/>
      <c r="Z113" s="94"/>
      <c r="AA113" s="758"/>
      <c r="AD113" s="741"/>
    </row>
    <row r="114" spans="1:30" outlineLevel="1">
      <c r="A114" s="615">
        <v>1</v>
      </c>
      <c r="B114" s="615">
        <v>1</v>
      </c>
      <c r="C114" s="615">
        <v>1</v>
      </c>
      <c r="D114" s="616">
        <f>IF(TipoTecho="Geodésico",A114,IF(TipoTecho="Flotante",B114,C114))</f>
        <v>1</v>
      </c>
      <c r="E114" s="89" t="s">
        <v>526</v>
      </c>
      <c r="F114" s="95">
        <v>9.1</v>
      </c>
      <c r="G114" s="96" t="s">
        <v>671</v>
      </c>
      <c r="H114" s="122" t="s">
        <v>497</v>
      </c>
      <c r="I114" s="645">
        <f>Regresiones!D45*Capacidad^Regresiones!D46</f>
        <v>328.57307422907411</v>
      </c>
      <c r="J114" s="649">
        <f>+INT(Diametro*0.3048*Diametro*0.3048*PI()/4)</f>
        <v>25</v>
      </c>
      <c r="K114" s="646">
        <f>I114*J114</f>
        <v>8214.326855726853</v>
      </c>
      <c r="L114" s="657">
        <v>0.2</v>
      </c>
      <c r="M114" s="657">
        <v>0.4</v>
      </c>
      <c r="N114" s="657">
        <v>0.25</v>
      </c>
      <c r="O114" s="657">
        <v>0.15</v>
      </c>
      <c r="P114" s="650">
        <f>$K114*L114*T114</f>
        <v>1642.8653711453708</v>
      </c>
      <c r="Q114" s="650">
        <f>$K114*M114*U114</f>
        <v>3285.7307422907415</v>
      </c>
      <c r="R114" s="650">
        <f>$K114*N114*V114</f>
        <v>2053.5817139317132</v>
      </c>
      <c r="S114" s="650">
        <f>$K114*O114*W114</f>
        <v>1232.1490283590279</v>
      </c>
      <c r="T114" s="772">
        <f>+fac_iAcero</f>
        <v>1</v>
      </c>
      <c r="U114" s="772">
        <f>+fac_iAcero</f>
        <v>1</v>
      </c>
      <c r="V114" s="772">
        <f>fac_mano_obra</f>
        <v>1</v>
      </c>
      <c r="W114" s="773">
        <f>fac_iObraCivil</f>
        <v>1</v>
      </c>
      <c r="X114" s="761"/>
      <c r="Y114" s="762"/>
      <c r="Z114" s="762"/>
      <c r="AA114" s="763"/>
      <c r="AD114" s="741"/>
    </row>
    <row r="115" spans="1:30">
      <c r="A115" s="615">
        <v>1</v>
      </c>
      <c r="B115" s="615">
        <v>1</v>
      </c>
      <c r="C115" s="615">
        <v>1</v>
      </c>
      <c r="D115" s="616">
        <f>IF(TipoTecho="Geodésico",A115,IF(TipoTecho="Flotante",B115,C115))</f>
        <v>1</v>
      </c>
      <c r="E115" s="89"/>
      <c r="F115" s="90">
        <v>10</v>
      </c>
      <c r="G115" s="91" t="s">
        <v>672</v>
      </c>
      <c r="H115" s="92"/>
      <c r="I115" s="93"/>
      <c r="J115" s="93"/>
      <c r="K115" s="93"/>
      <c r="L115" s="94"/>
      <c r="M115" s="94"/>
      <c r="N115" s="94"/>
      <c r="O115" s="94"/>
      <c r="P115" s="94"/>
      <c r="Q115" s="94"/>
      <c r="R115" s="94"/>
      <c r="S115" s="94"/>
      <c r="T115" s="774"/>
      <c r="U115" s="774"/>
      <c r="V115" s="774"/>
      <c r="W115" s="775"/>
      <c r="X115" s="757"/>
      <c r="Y115" s="94"/>
      <c r="Z115" s="94"/>
      <c r="AA115" s="758"/>
      <c r="AD115" s="741"/>
    </row>
    <row r="116" spans="1:30" outlineLevel="1">
      <c r="A116" s="615">
        <v>1</v>
      </c>
      <c r="B116" s="615">
        <v>1</v>
      </c>
      <c r="C116" s="615">
        <v>1</v>
      </c>
      <c r="D116" s="616">
        <f>IF(TipoTecho="Geodésico",A116,IF(TipoTecho="Flotante",B116,C116))</f>
        <v>1</v>
      </c>
      <c r="E116" s="89" t="s">
        <v>526</v>
      </c>
      <c r="F116" s="95">
        <v>10.1</v>
      </c>
      <c r="G116" s="96" t="s">
        <v>673</v>
      </c>
      <c r="H116" s="119" t="s">
        <v>513</v>
      </c>
      <c r="I116" s="645">
        <f>VLOOKUP($G116,'BD SuministroMontaje'!$A$1:$D$105,4,0)</f>
        <v>470.16698214392676</v>
      </c>
      <c r="J116" s="792">
        <f>+ROUNDUP(J19,0)</f>
        <v>1</v>
      </c>
      <c r="K116" s="646">
        <f>I116*J116</f>
        <v>470.16698214392676</v>
      </c>
      <c r="L116" s="657">
        <v>0.1</v>
      </c>
      <c r="M116" s="657">
        <v>0</v>
      </c>
      <c r="N116" s="657">
        <v>0.6</v>
      </c>
      <c r="O116" s="657">
        <v>0.3</v>
      </c>
      <c r="P116" s="650">
        <f t="shared" ref="P116:P117" si="88">X116*T116</f>
        <v>53.112916165843139</v>
      </c>
      <c r="Q116" s="650">
        <f t="shared" ref="Q116:Q117" si="89">Y116*U116</f>
        <v>0</v>
      </c>
      <c r="R116" s="650">
        <f t="shared" ref="R116:R117" si="90">Z116*V116</f>
        <v>295.42823699888271</v>
      </c>
      <c r="S116" s="650">
        <f t="shared" ref="S116:S117" si="91">AA116*W116</f>
        <v>152.50992090784757</v>
      </c>
      <c r="T116" s="768">
        <f>(ipc/ipc_base)*(trm_base/trm_calculo)</f>
        <v>1</v>
      </c>
      <c r="U116" s="768"/>
      <c r="V116" s="768">
        <f>fac_mano_obra</f>
        <v>1</v>
      </c>
      <c r="W116" s="769">
        <f>fac_iObraCivil</f>
        <v>1</v>
      </c>
      <c r="X116" s="761">
        <f>$K116*L116*$D116*1.12966069892131</f>
        <v>53.112916165843139</v>
      </c>
      <c r="Y116" s="762"/>
      <c r="Z116" s="762">
        <f>$K116*N116*$D116*1.04724579500015</f>
        <v>295.42823699888271</v>
      </c>
      <c r="AA116" s="763">
        <f>$K116*O116*$D116*1.0812464982293</f>
        <v>152.50992090784757</v>
      </c>
      <c r="AD116" s="741"/>
    </row>
    <row r="117" spans="1:30" ht="15.75" outlineLevel="1" thickBot="1">
      <c r="A117" s="615">
        <v>1</v>
      </c>
      <c r="B117" s="615">
        <v>1</v>
      </c>
      <c r="C117" s="615">
        <v>1</v>
      </c>
      <c r="D117" s="616">
        <f>IF(TipoTecho="Geodésico",A117,IF(TipoTecho="Flotante",B117,C117))</f>
        <v>1</v>
      </c>
      <c r="E117" s="89" t="s">
        <v>526</v>
      </c>
      <c r="F117" s="95">
        <v>10.199999999999999</v>
      </c>
      <c r="G117" s="96" t="s">
        <v>674</v>
      </c>
      <c r="H117" s="119" t="s">
        <v>513</v>
      </c>
      <c r="I117" s="645">
        <f>VLOOKUP($G117,'BD SuministroMontaje'!$A$1:$D$105,4,0)</f>
        <v>207.30031922790047</v>
      </c>
      <c r="J117" s="792">
        <f>+ROUNDUP(J24,0)</f>
        <v>16</v>
      </c>
      <c r="K117" s="646">
        <f>I117*J117</f>
        <v>3316.8051076464076</v>
      </c>
      <c r="L117" s="657">
        <v>0.1</v>
      </c>
      <c r="M117" s="657">
        <v>0</v>
      </c>
      <c r="N117" s="657">
        <v>0.6</v>
      </c>
      <c r="O117" s="657">
        <v>0.3</v>
      </c>
      <c r="P117" s="650">
        <f t="shared" si="88"/>
        <v>374.68643760896117</v>
      </c>
      <c r="Q117" s="650">
        <f t="shared" si="89"/>
        <v>0</v>
      </c>
      <c r="R117" s="650">
        <f t="shared" si="90"/>
        <v>2084.1061210906319</v>
      </c>
      <c r="S117" s="650">
        <f t="shared" si="91"/>
        <v>1075.8851723855203</v>
      </c>
      <c r="T117" s="768">
        <f>(ipc/ipc_base)*(trm_base/trm_calculo)</f>
        <v>1</v>
      </c>
      <c r="U117" s="768"/>
      <c r="V117" s="768">
        <f>fac_mano_obra</f>
        <v>1</v>
      </c>
      <c r="W117" s="769">
        <f>fac_iObraCivil</f>
        <v>1</v>
      </c>
      <c r="X117" s="764">
        <f>$K117*L117*$D117*1.12966069892131</f>
        <v>374.68643760896117</v>
      </c>
      <c r="Y117" s="765"/>
      <c r="Z117" s="765">
        <f>$K117*N117*$D117*1.04724579500015</f>
        <v>2084.1061210906319</v>
      </c>
      <c r="AA117" s="766">
        <f>$K117*O117*$D117*1.0812464982293</f>
        <v>1075.8851723855203</v>
      </c>
      <c r="AD117" s="741"/>
    </row>
    <row r="118" spans="1:30">
      <c r="G118" s="91" t="s">
        <v>675</v>
      </c>
      <c r="H118" s="92"/>
      <c r="I118" s="93"/>
      <c r="J118" s="93"/>
      <c r="K118" s="93"/>
      <c r="L118" s="94"/>
      <c r="M118" s="94"/>
      <c r="N118" s="94"/>
      <c r="O118" s="94"/>
      <c r="P118" s="94"/>
      <c r="Q118" s="94"/>
      <c r="R118" s="94"/>
      <c r="S118" s="94"/>
      <c r="T118" s="94"/>
      <c r="U118" s="94"/>
      <c r="V118" s="94"/>
      <c r="W118" s="94"/>
    </row>
    <row r="119" spans="1:30" outlineLevel="1">
      <c r="G119" s="96" t="s">
        <v>676</v>
      </c>
      <c r="H119" s="119" t="s">
        <v>504</v>
      </c>
      <c r="I119" s="802">
        <f>IF(Capacidad&lt;=120000,Regresiones!B45*Capacidad^Regresiones!B46,Regresiones!B51*Capacidad^Regresiones!B52)</f>
        <v>106699.12565040088</v>
      </c>
      <c r="J119" s="803">
        <f>IF(Pilotes="SI",0.4*SUMIF(H29:H58,"Kilogramo",J29:J58),0)</f>
        <v>0</v>
      </c>
      <c r="K119" s="688">
        <f>IF(Pilotes="SI",0.4*SUM(,K29:K58),0)</f>
        <v>0</v>
      </c>
      <c r="L119" s="657">
        <v>0.32699949660967337</v>
      </c>
      <c r="M119" s="657"/>
      <c r="N119" s="657">
        <v>0.48241746546425168</v>
      </c>
      <c r="O119" s="657">
        <v>0.19058303792607495</v>
      </c>
      <c r="P119" s="650">
        <f>IF(Pilotes="SI",L119*$I$119,0)</f>
        <v>0</v>
      </c>
      <c r="Q119" s="650">
        <f>IF(Pilotes="SI",M119*$I$119,0)</f>
        <v>0</v>
      </c>
      <c r="R119" s="650">
        <f>IF(Pilotes="SI",N119*$I$119,0)</f>
        <v>0</v>
      </c>
      <c r="S119" s="650">
        <f>IF(Pilotes="SI",O119*$I$119,0)</f>
        <v>0</v>
      </c>
      <c r="T119" s="746">
        <f>fac_iObraCivil</f>
        <v>1</v>
      </c>
      <c r="U119" s="746"/>
      <c r="V119" s="746">
        <f>fac_mano_obra</f>
        <v>1</v>
      </c>
      <c r="W119" s="746">
        <f>fac_iObraCivil</f>
        <v>1</v>
      </c>
    </row>
    <row r="121" spans="1:30">
      <c r="P121" s="794"/>
      <c r="Q121" s="794"/>
      <c r="R121" s="794"/>
      <c r="S121" s="794"/>
      <c r="T121" s="158"/>
    </row>
    <row r="122" spans="1:30">
      <c r="K122" s="704">
        <f t="shared" ref="K122:S122" ca="1" si="92">SUM(K5:K119)</f>
        <v>752475.62971001933</v>
      </c>
      <c r="L122" s="704">
        <f t="shared" si="92"/>
        <v>19.006999496609655</v>
      </c>
      <c r="M122" s="704">
        <f t="shared" si="92"/>
        <v>27.549999999999994</v>
      </c>
      <c r="N122" s="704">
        <f t="shared" si="92"/>
        <v>27.112417465464269</v>
      </c>
      <c r="O122" s="704">
        <f t="shared" si="92"/>
        <v>19.330583037926083</v>
      </c>
      <c r="P122" s="704">
        <f t="shared" ca="1" si="92"/>
        <v>150025.71850825779</v>
      </c>
      <c r="Q122" s="704">
        <f t="shared" ca="1" si="92"/>
        <v>164515.08977315729</v>
      </c>
      <c r="R122" s="704">
        <f t="shared" ca="1" si="92"/>
        <v>236178.94421186103</v>
      </c>
      <c r="S122" s="704">
        <f t="shared" ca="1" si="92"/>
        <v>158404.06136299708</v>
      </c>
    </row>
  </sheetData>
  <sheetProtection algorithmName="SHA-512" hashValue="bWvZG99ltq5etfSd2gJMsVndeKLqIRohwhCgtbyeqdv6B+klwX/iS+kU6Z+sazGcEb2n9GnxwaRnPocyLbnSqg==" saltValue="M9XO4K6Vi2V4YvV+7esJgw==" spinCount="100000" sheet="1" objects="1" scenarios="1"/>
  <autoFilter ref="A4:S119" xr:uid="{00000000-0001-0000-0400-000000000000}"/>
  <phoneticPr fontId="18" type="noConversion"/>
  <pageMargins left="0.7" right="0.7" top="0.75" bottom="0.75" header="0.51180555555555496" footer="0.51180555555555496"/>
  <pageSetup firstPageNumber="0" orientation="portrait" horizontalDpi="300" verticalDpi="300"/>
  <ignoredErrors>
    <ignoredError sqref="Y18 U18" formula="1"/>
  </ignoredErrors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4"/>
  <dimension ref="A1:L105"/>
  <sheetViews>
    <sheetView showGridLines="0" zoomScale="140" zoomScaleNormal="140" workbookViewId="0">
      <pane xSplit="2" ySplit="1" topLeftCell="C2" activePane="bottomRight" state="frozen"/>
      <selection pane="topRight" activeCell="N22" sqref="N22"/>
      <selection pane="bottomLeft" activeCell="N22" sqref="N22"/>
      <selection pane="bottomRight" activeCell="D121" sqref="D121"/>
    </sheetView>
  </sheetViews>
  <sheetFormatPr baseColWidth="10" defaultColWidth="9.140625" defaultRowHeight="15"/>
  <cols>
    <col min="1" max="1" width="45.140625" customWidth="1"/>
    <col min="2" max="2" width="10.42578125" customWidth="1"/>
    <col min="3" max="3" width="29.42578125" customWidth="1"/>
    <col min="4" max="4" width="19.42578125" style="125" customWidth="1"/>
    <col min="5" max="5" width="10.42578125" customWidth="1"/>
    <col min="6" max="6" width="65.5703125" customWidth="1"/>
    <col min="7" max="9" width="10.42578125" customWidth="1"/>
    <col min="10" max="10" width="105.42578125" bestFit="1" customWidth="1"/>
    <col min="11" max="1025" width="10.42578125" customWidth="1"/>
  </cols>
  <sheetData>
    <row r="1" spans="1:12">
      <c r="A1" s="85" t="s">
        <v>473</v>
      </c>
      <c r="B1" s="86" t="s">
        <v>474</v>
      </c>
      <c r="C1" s="85" t="s">
        <v>677</v>
      </c>
      <c r="D1" s="126" t="s">
        <v>678</v>
      </c>
    </row>
    <row r="2" spans="1:12">
      <c r="A2" s="91" t="s">
        <v>494</v>
      </c>
      <c r="B2" s="92"/>
      <c r="C2" s="93"/>
      <c r="D2" s="127"/>
    </row>
    <row r="3" spans="1:12">
      <c r="A3" s="576" t="s">
        <v>496</v>
      </c>
      <c r="B3" s="577" t="s">
        <v>497</v>
      </c>
      <c r="C3" s="578">
        <v>4835</v>
      </c>
      <c r="D3" s="575">
        <f>C3/trm_ref</f>
        <v>1.2284557463744317</v>
      </c>
      <c r="E3" t="s">
        <v>1170</v>
      </c>
      <c r="H3" t="e">
        <f t="shared" ref="H3:H34" si="0">+I3*trm_ref</f>
        <v>#REF!</v>
      </c>
      <c r="I3" t="e">
        <f>+#REF!</f>
        <v>#REF!</v>
      </c>
      <c r="J3" t="e">
        <f>+#REF!</f>
        <v>#REF!</v>
      </c>
      <c r="K3" t="e">
        <f>+#REF!</f>
        <v>#REF!</v>
      </c>
      <c r="L3" t="e">
        <f>+#REF!</f>
        <v>#REF!</v>
      </c>
    </row>
    <row r="4" spans="1:12">
      <c r="A4" s="576" t="s">
        <v>499</v>
      </c>
      <c r="B4" s="577" t="s">
        <v>500</v>
      </c>
      <c r="C4" s="578">
        <v>290</v>
      </c>
      <c r="D4" s="575">
        <f>C4/trm_ref</f>
        <v>7.3681937217908E-2</v>
      </c>
      <c r="H4" t="e">
        <f t="shared" si="0"/>
        <v>#REF!</v>
      </c>
      <c r="I4" t="e">
        <f>+#REF!</f>
        <v>#REF!</v>
      </c>
      <c r="J4" t="e">
        <f>+#REF!</f>
        <v>#REF!</v>
      </c>
      <c r="K4" t="e">
        <f>+#REF!</f>
        <v>#REF!</v>
      </c>
      <c r="L4" t="e">
        <f>+#REF!</f>
        <v>#REF!</v>
      </c>
    </row>
    <row r="5" spans="1:12">
      <c r="A5" s="91" t="s">
        <v>501</v>
      </c>
      <c r="B5" s="92"/>
      <c r="C5" s="93"/>
      <c r="D5" s="127"/>
      <c r="H5" t="e">
        <f t="shared" si="0"/>
        <v>#REF!</v>
      </c>
      <c r="I5" t="e">
        <f>+#REF!</f>
        <v>#REF!</v>
      </c>
      <c r="J5" t="e">
        <f>+#REF!</f>
        <v>#REF!</v>
      </c>
      <c r="K5" t="e">
        <f>+#REF!</f>
        <v>#REF!</v>
      </c>
      <c r="L5" t="e">
        <f>+#REF!</f>
        <v>#REF!</v>
      </c>
    </row>
    <row r="6" spans="1:12">
      <c r="A6" s="576" t="s">
        <v>510</v>
      </c>
      <c r="B6" s="577" t="s">
        <v>504</v>
      </c>
      <c r="C6" s="578">
        <v>43829</v>
      </c>
      <c r="D6" s="575">
        <f t="shared" ref="D6:D18" si="1">C6/trm_ref</f>
        <v>11.135881470081689</v>
      </c>
      <c r="H6" t="e">
        <f t="shared" si="0"/>
        <v>#REF!</v>
      </c>
      <c r="I6" t="e">
        <f>+#REF!</f>
        <v>#REF!</v>
      </c>
      <c r="J6" t="e">
        <f>+#REF!</f>
        <v>#REF!</v>
      </c>
      <c r="K6" t="e">
        <f>+#REF!</f>
        <v>#REF!</v>
      </c>
      <c r="L6" t="e">
        <f>+#REF!</f>
        <v>#REF!</v>
      </c>
    </row>
    <row r="7" spans="1:12">
      <c r="A7" s="576" t="s">
        <v>511</v>
      </c>
      <c r="B7" s="577" t="s">
        <v>504</v>
      </c>
      <c r="C7" s="578">
        <v>46063</v>
      </c>
      <c r="D7" s="575">
        <f t="shared" si="1"/>
        <v>11.703486462305159</v>
      </c>
      <c r="G7" t="s">
        <v>1169</v>
      </c>
      <c r="H7" t="e">
        <f t="shared" si="0"/>
        <v>#REF!</v>
      </c>
      <c r="I7" t="e">
        <f>+#REF!</f>
        <v>#REF!</v>
      </c>
      <c r="J7" t="e">
        <f>+#REF!</f>
        <v>#REF!</v>
      </c>
      <c r="K7" t="e">
        <f>+#REF!</f>
        <v>#REF!</v>
      </c>
      <c r="L7" t="e">
        <f>+#REF!</f>
        <v>#REF!</v>
      </c>
    </row>
    <row r="8" spans="1:12">
      <c r="A8" s="576" t="s">
        <v>512</v>
      </c>
      <c r="B8" s="577" t="s">
        <v>513</v>
      </c>
      <c r="C8" s="578">
        <v>13336206.8965517</v>
      </c>
      <c r="D8" s="575">
        <f t="shared" si="1"/>
        <v>3388.4053768163935</v>
      </c>
      <c r="H8" t="e">
        <f t="shared" si="0"/>
        <v>#REF!</v>
      </c>
      <c r="I8" t="e">
        <f>+#REF!</f>
        <v>#REF!</v>
      </c>
      <c r="J8" t="e">
        <f>+#REF!</f>
        <v>#REF!</v>
      </c>
      <c r="K8" t="e">
        <f>+#REF!</f>
        <v>#REF!</v>
      </c>
      <c r="L8" t="e">
        <f>+#REF!</f>
        <v>#REF!</v>
      </c>
    </row>
    <row r="9" spans="1:12">
      <c r="A9" s="576" t="s">
        <v>514</v>
      </c>
      <c r="B9" s="577" t="s">
        <v>515</v>
      </c>
      <c r="C9" s="578">
        <v>1815953.6541889501</v>
      </c>
      <c r="D9" s="575">
        <f t="shared" si="1"/>
        <v>461.38959702958908</v>
      </c>
      <c r="H9" t="e">
        <f t="shared" si="0"/>
        <v>#REF!</v>
      </c>
      <c r="I9" t="e">
        <f>+#REF!</f>
        <v>#REF!</v>
      </c>
      <c r="J9" t="e">
        <f>+#REF!</f>
        <v>#REF!</v>
      </c>
      <c r="K9" t="e">
        <f>+#REF!</f>
        <v>#REF!</v>
      </c>
      <c r="L9" t="e">
        <f>+#REF!</f>
        <v>#REF!</v>
      </c>
    </row>
    <row r="10" spans="1:12">
      <c r="A10" s="576" t="s">
        <v>516</v>
      </c>
      <c r="B10" s="577" t="s">
        <v>513</v>
      </c>
      <c r="C10" s="578">
        <v>19075789.277295835</v>
      </c>
      <c r="D10" s="575">
        <f t="shared" si="1"/>
        <v>4846.693475557774</v>
      </c>
      <c r="H10" t="e">
        <f t="shared" si="0"/>
        <v>#REF!</v>
      </c>
      <c r="I10" t="e">
        <f>+#REF!</f>
        <v>#REF!</v>
      </c>
      <c r="J10" t="e">
        <f>+#REF!</f>
        <v>#REF!</v>
      </c>
      <c r="K10" t="e">
        <f>+#REF!</f>
        <v>#REF!</v>
      </c>
      <c r="L10" t="e">
        <f>+#REF!</f>
        <v>#REF!</v>
      </c>
    </row>
    <row r="11" spans="1:12">
      <c r="A11" s="576" t="s">
        <v>517</v>
      </c>
      <c r="B11" s="577" t="s">
        <v>513</v>
      </c>
      <c r="C11" s="578">
        <v>21658000</v>
      </c>
      <c r="D11" s="575">
        <f t="shared" si="1"/>
        <v>5502.7703319498323</v>
      </c>
      <c r="H11" t="e">
        <f t="shared" si="0"/>
        <v>#REF!</v>
      </c>
      <c r="I11" t="e">
        <f>+#REF!</f>
        <v>#REF!</v>
      </c>
      <c r="J11" t="e">
        <f>+#REF!</f>
        <v>#REF!</v>
      </c>
      <c r="K11" t="e">
        <f>+#REF!</f>
        <v>#REF!</v>
      </c>
      <c r="L11" t="e">
        <f>+#REF!</f>
        <v>#REF!</v>
      </c>
    </row>
    <row r="12" spans="1:12">
      <c r="A12" s="576" t="s">
        <v>518</v>
      </c>
      <c r="B12" s="577" t="s">
        <v>513</v>
      </c>
      <c r="C12" s="578">
        <v>7116200</v>
      </c>
      <c r="D12" s="575">
        <f t="shared" si="1"/>
        <v>1808.0531090692307</v>
      </c>
      <c r="H12" t="e">
        <f t="shared" si="0"/>
        <v>#REF!</v>
      </c>
      <c r="I12" t="e">
        <f>+#REF!</f>
        <v>#REF!</v>
      </c>
      <c r="J12" t="e">
        <f>+#REF!</f>
        <v>#REF!</v>
      </c>
      <c r="K12" t="e">
        <f>+#REF!</f>
        <v>#REF!</v>
      </c>
      <c r="L12" t="e">
        <f>+#REF!</f>
        <v>#REF!</v>
      </c>
    </row>
    <row r="13" spans="1:12">
      <c r="A13" s="576" t="s">
        <v>519</v>
      </c>
      <c r="B13" s="577" t="s">
        <v>513</v>
      </c>
      <c r="C13" s="578">
        <v>71400000</v>
      </c>
      <c r="D13" s="575">
        <f t="shared" si="1"/>
        <v>18141.001094340107</v>
      </c>
      <c r="H13" t="e">
        <f t="shared" si="0"/>
        <v>#REF!</v>
      </c>
      <c r="I13" t="e">
        <f>+#REF!</f>
        <v>#REF!</v>
      </c>
      <c r="J13" t="e">
        <f>+#REF!</f>
        <v>#REF!</v>
      </c>
      <c r="K13" t="e">
        <f>+#REF!</f>
        <v>#REF!</v>
      </c>
      <c r="L13" t="e">
        <f>+#REF!</f>
        <v>#REF!</v>
      </c>
    </row>
    <row r="14" spans="1:12">
      <c r="A14" s="576" t="s">
        <v>520</v>
      </c>
      <c r="B14" s="577" t="s">
        <v>513</v>
      </c>
      <c r="C14" s="578">
        <v>63450000</v>
      </c>
      <c r="D14" s="575">
        <f t="shared" si="1"/>
        <v>16121.099711987112</v>
      </c>
      <c r="H14" t="e">
        <f t="shared" si="0"/>
        <v>#REF!</v>
      </c>
      <c r="I14" t="e">
        <f>+#REF!</f>
        <v>#REF!</v>
      </c>
      <c r="J14" t="e">
        <f>+#REF!</f>
        <v>#REF!</v>
      </c>
      <c r="K14" t="e">
        <f>+#REF!</f>
        <v>#REF!</v>
      </c>
      <c r="L14" t="e">
        <f>+#REF!</f>
        <v>#REF!</v>
      </c>
    </row>
    <row r="15" spans="1:12">
      <c r="A15" s="576" t="s">
        <v>521</v>
      </c>
      <c r="B15" s="577" t="s">
        <v>513</v>
      </c>
      <c r="C15" s="578">
        <v>492700.99731792533</v>
      </c>
      <c r="D15" s="575">
        <f t="shared" si="1"/>
        <v>125.18332397096563</v>
      </c>
      <c r="H15" t="e">
        <f t="shared" si="0"/>
        <v>#REF!</v>
      </c>
      <c r="I15" t="e">
        <f>+#REF!</f>
        <v>#REF!</v>
      </c>
      <c r="J15" t="e">
        <f>+#REF!</f>
        <v>#REF!</v>
      </c>
      <c r="K15" t="e">
        <f>+#REF!</f>
        <v>#REF!</v>
      </c>
      <c r="L15" t="e">
        <f>+#REF!</f>
        <v>#REF!</v>
      </c>
    </row>
    <row r="16" spans="1:12">
      <c r="A16" s="576" t="s">
        <v>522</v>
      </c>
      <c r="B16" s="577" t="s">
        <v>513</v>
      </c>
      <c r="C16" s="578">
        <v>10805200</v>
      </c>
      <c r="D16" s="575">
        <f t="shared" si="1"/>
        <v>2745.3381656101365</v>
      </c>
      <c r="H16" t="e">
        <f t="shared" si="0"/>
        <v>#REF!</v>
      </c>
      <c r="I16" t="e">
        <f>+#REF!</f>
        <v>#REF!</v>
      </c>
      <c r="J16" t="e">
        <f>+#REF!</f>
        <v>#REF!</v>
      </c>
      <c r="K16" t="e">
        <f>+#REF!</f>
        <v>#REF!</v>
      </c>
      <c r="L16" t="e">
        <f>+#REF!</f>
        <v>#REF!</v>
      </c>
    </row>
    <row r="17" spans="1:12">
      <c r="A17" s="576" t="s">
        <v>509</v>
      </c>
      <c r="B17" s="577" t="s">
        <v>497</v>
      </c>
      <c r="C17" s="579">
        <v>959535.12011610775</v>
      </c>
      <c r="D17" s="575">
        <f t="shared" si="1"/>
        <v>243.79450509921676</v>
      </c>
      <c r="H17" t="e">
        <f t="shared" si="0"/>
        <v>#REF!</v>
      </c>
      <c r="I17" t="e">
        <f>+#REF!</f>
        <v>#REF!</v>
      </c>
    </row>
    <row r="18" spans="1:12">
      <c r="A18" s="576" t="s">
        <v>523</v>
      </c>
      <c r="B18" s="577" t="s">
        <v>497</v>
      </c>
      <c r="C18" s="579">
        <v>1079890.6420278624</v>
      </c>
      <c r="D18" s="575">
        <f t="shared" si="1"/>
        <v>274.37391202794248</v>
      </c>
      <c r="H18" t="e">
        <f t="shared" si="0"/>
        <v>#REF!</v>
      </c>
      <c r="I18" t="e">
        <f>+#REF!</f>
        <v>#REF!</v>
      </c>
      <c r="J18" t="e">
        <f>+#REF!</f>
        <v>#REF!</v>
      </c>
      <c r="K18" t="e">
        <f>+#REF!</f>
        <v>#REF!</v>
      </c>
      <c r="L18" t="e">
        <f>+#REF!</f>
        <v>#REF!</v>
      </c>
    </row>
    <row r="19" spans="1:12">
      <c r="A19" s="91" t="s">
        <v>524</v>
      </c>
      <c r="B19" s="92"/>
      <c r="C19" s="93"/>
      <c r="D19" s="127"/>
      <c r="H19" t="e">
        <f t="shared" si="0"/>
        <v>#REF!</v>
      </c>
      <c r="I19" t="e">
        <f>+#REF!</f>
        <v>#REF!</v>
      </c>
      <c r="J19" t="e">
        <f>+#REF!</f>
        <v>#REF!</v>
      </c>
      <c r="K19" t="e">
        <f>+#REF!</f>
        <v>#REF!</v>
      </c>
      <c r="L19" t="e">
        <f>+#REF!</f>
        <v>#REF!</v>
      </c>
    </row>
    <row r="20" spans="1:12">
      <c r="A20" s="580" t="s">
        <v>525</v>
      </c>
      <c r="B20" s="581"/>
      <c r="C20" s="111"/>
      <c r="D20" s="128"/>
      <c r="H20" t="e">
        <f t="shared" si="0"/>
        <v>#REF!</v>
      </c>
      <c r="I20" t="e">
        <f>+#REF!</f>
        <v>#REF!</v>
      </c>
      <c r="J20" t="e">
        <f>+#REF!</f>
        <v>#REF!</v>
      </c>
      <c r="K20" t="e">
        <f>+#REF!</f>
        <v>#REF!</v>
      </c>
      <c r="L20" t="e">
        <f>+#REF!</f>
        <v>#REF!</v>
      </c>
    </row>
    <row r="21" spans="1:12">
      <c r="A21" s="576" t="s">
        <v>528</v>
      </c>
      <c r="B21" s="577" t="s">
        <v>497</v>
      </c>
      <c r="C21" s="582">
        <v>4200</v>
      </c>
      <c r="D21" s="575">
        <f>C21/trm_ref</f>
        <v>1.0671177114317711</v>
      </c>
      <c r="H21" t="e">
        <f t="shared" si="0"/>
        <v>#REF!</v>
      </c>
      <c r="I21" t="e">
        <f>+#REF!</f>
        <v>#REF!</v>
      </c>
      <c r="J21" t="e">
        <f>+#REF!</f>
        <v>#REF!</v>
      </c>
      <c r="K21" t="e">
        <f>+#REF!</f>
        <v>#REF!</v>
      </c>
      <c r="L21" t="e">
        <f>+#REF!</f>
        <v>#REF!</v>
      </c>
    </row>
    <row r="22" spans="1:12">
      <c r="A22" s="576" t="s">
        <v>530</v>
      </c>
      <c r="B22" s="577" t="s">
        <v>531</v>
      </c>
      <c r="C22" s="582">
        <v>21000</v>
      </c>
      <c r="D22" s="575">
        <f>C22/trm_ref</f>
        <v>5.3355885571588555</v>
      </c>
      <c r="H22" t="e">
        <f t="shared" si="0"/>
        <v>#REF!</v>
      </c>
      <c r="I22" t="e">
        <f>+#REF!</f>
        <v>#REF!</v>
      </c>
      <c r="J22" t="e">
        <f>+#REF!</f>
        <v>#REF!</v>
      </c>
      <c r="K22" t="e">
        <f>+#REF!</f>
        <v>#REF!</v>
      </c>
      <c r="L22" t="e">
        <f>+#REF!</f>
        <v>#REF!</v>
      </c>
    </row>
    <row r="23" spans="1:12">
      <c r="A23" s="576" t="s">
        <v>533</v>
      </c>
      <c r="B23" s="577" t="s">
        <v>531</v>
      </c>
      <c r="C23" s="582">
        <v>56800</v>
      </c>
      <c r="D23" s="575">
        <f>C23/trm_ref</f>
        <v>14.431496668886808</v>
      </c>
      <c r="H23" t="e">
        <f t="shared" si="0"/>
        <v>#REF!</v>
      </c>
      <c r="I23" t="e">
        <f>+#REF!</f>
        <v>#REF!</v>
      </c>
      <c r="J23" t="e">
        <f>+#REF!</f>
        <v>#REF!</v>
      </c>
      <c r="K23" t="e">
        <f>+#REF!</f>
        <v>#REF!</v>
      </c>
      <c r="L23" t="e">
        <f>+#REF!</f>
        <v>#REF!</v>
      </c>
    </row>
    <row r="24" spans="1:12">
      <c r="A24" s="576" t="s">
        <v>535</v>
      </c>
      <c r="B24" s="577" t="s">
        <v>531</v>
      </c>
      <c r="C24" s="582">
        <v>210000</v>
      </c>
      <c r="D24" s="575">
        <f>C24/trm_ref</f>
        <v>53.355885571588551</v>
      </c>
      <c r="H24" t="e">
        <f t="shared" si="0"/>
        <v>#REF!</v>
      </c>
      <c r="I24" t="e">
        <f>+#REF!</f>
        <v>#REF!</v>
      </c>
      <c r="J24" t="e">
        <f>+#REF!</f>
        <v>#REF!</v>
      </c>
      <c r="K24" t="e">
        <f>+#REF!</f>
        <v>#REF!</v>
      </c>
      <c r="L24" t="e">
        <f>+#REF!</f>
        <v>#REF!</v>
      </c>
    </row>
    <row r="25" spans="1:12" ht="22.5">
      <c r="A25" s="576" t="s">
        <v>537</v>
      </c>
      <c r="B25" s="577" t="s">
        <v>531</v>
      </c>
      <c r="C25" s="578">
        <v>5625</v>
      </c>
      <c r="D25" s="575">
        <f>C25/trm_ref</f>
        <v>1.4291755063818363</v>
      </c>
      <c r="H25" t="e">
        <f t="shared" si="0"/>
        <v>#REF!</v>
      </c>
      <c r="I25" t="e">
        <f>+#REF!</f>
        <v>#REF!</v>
      </c>
      <c r="J25" t="e">
        <f>+#REF!</f>
        <v>#REF!</v>
      </c>
      <c r="K25" t="e">
        <f>+#REF!</f>
        <v>#REF!</v>
      </c>
      <c r="L25" t="e">
        <f>+#REF!</f>
        <v>#REF!</v>
      </c>
    </row>
    <row r="26" spans="1:12" ht="22.5">
      <c r="A26" s="580" t="s">
        <v>538</v>
      </c>
      <c r="B26" s="581"/>
      <c r="C26" s="113"/>
      <c r="D26" s="128"/>
      <c r="H26" t="e">
        <f t="shared" si="0"/>
        <v>#REF!</v>
      </c>
      <c r="I26" t="e">
        <f>+#REF!</f>
        <v>#REF!</v>
      </c>
      <c r="J26" t="e">
        <f>+#REF!</f>
        <v>#REF!</v>
      </c>
      <c r="K26" t="e">
        <f>+#REF!</f>
        <v>#REF!</v>
      </c>
      <c r="L26" t="e">
        <f>+#REF!</f>
        <v>#REF!</v>
      </c>
    </row>
    <row r="27" spans="1:12">
      <c r="A27" s="576" t="s">
        <v>540</v>
      </c>
      <c r="B27" s="577" t="s">
        <v>531</v>
      </c>
      <c r="C27" s="578">
        <v>75000</v>
      </c>
      <c r="D27" s="575">
        <f>C27/trm_ref</f>
        <v>19.055673418424483</v>
      </c>
      <c r="H27" t="e">
        <f t="shared" si="0"/>
        <v>#REF!</v>
      </c>
      <c r="I27" t="e">
        <f>+#REF!</f>
        <v>#REF!</v>
      </c>
      <c r="J27" t="e">
        <f>+#REF!</f>
        <v>#REF!</v>
      </c>
      <c r="K27" t="e">
        <f>+#REF!</f>
        <v>#REF!</v>
      </c>
      <c r="L27" t="e">
        <f>+#REF!</f>
        <v>#REF!</v>
      </c>
    </row>
    <row r="28" spans="1:12">
      <c r="A28" s="576" t="s">
        <v>542</v>
      </c>
      <c r="B28" s="577" t="s">
        <v>531</v>
      </c>
      <c r="C28" s="578">
        <v>48000</v>
      </c>
      <c r="D28" s="575">
        <f>C28/trm_ref</f>
        <v>12.195630987791668</v>
      </c>
      <c r="H28" t="e">
        <f t="shared" si="0"/>
        <v>#REF!</v>
      </c>
      <c r="I28" t="e">
        <f>+#REF!</f>
        <v>#REF!</v>
      </c>
      <c r="J28" t="e">
        <f>+#REF!</f>
        <v>#REF!</v>
      </c>
      <c r="K28" t="e">
        <f>+#REF!</f>
        <v>#REF!</v>
      </c>
      <c r="L28" t="e">
        <f>+#REF!</f>
        <v>#REF!</v>
      </c>
    </row>
    <row r="29" spans="1:12" ht="22.5">
      <c r="A29" s="576" t="s">
        <v>544</v>
      </c>
      <c r="B29" s="577" t="s">
        <v>531</v>
      </c>
      <c r="C29" s="578">
        <v>129000</v>
      </c>
      <c r="D29" s="575">
        <f>C29/trm_ref</f>
        <v>32.775758279690109</v>
      </c>
      <c r="H29" t="e">
        <f t="shared" si="0"/>
        <v>#REF!</v>
      </c>
      <c r="I29" t="e">
        <f>+#REF!</f>
        <v>#REF!</v>
      </c>
      <c r="J29" t="e">
        <f>+#REF!</f>
        <v>#REF!</v>
      </c>
      <c r="K29" t="e">
        <f>+#REF!</f>
        <v>#REF!</v>
      </c>
      <c r="L29" t="e">
        <f>+#REF!</f>
        <v>#REF!</v>
      </c>
    </row>
    <row r="30" spans="1:12">
      <c r="A30" s="576" t="s">
        <v>546</v>
      </c>
      <c r="B30" s="577" t="s">
        <v>531</v>
      </c>
      <c r="C30" s="578">
        <v>142500</v>
      </c>
      <c r="D30" s="575">
        <f>C30/trm_ref</f>
        <v>36.205779495006517</v>
      </c>
      <c r="H30" t="e">
        <f t="shared" si="0"/>
        <v>#REF!</v>
      </c>
      <c r="I30" t="e">
        <f>+#REF!</f>
        <v>#REF!</v>
      </c>
      <c r="J30" t="e">
        <f>+#REF!</f>
        <v>#REF!</v>
      </c>
      <c r="K30" t="e">
        <f>+#REF!</f>
        <v>#REF!</v>
      </c>
      <c r="L30" t="e">
        <f>+#REF!</f>
        <v>#REF!</v>
      </c>
    </row>
    <row r="31" spans="1:12">
      <c r="A31" s="576" t="s">
        <v>548</v>
      </c>
      <c r="B31" s="577" t="s">
        <v>531</v>
      </c>
      <c r="C31" s="578">
        <v>129000</v>
      </c>
      <c r="D31" s="575">
        <f>C31/trm_ref</f>
        <v>32.775758279690109</v>
      </c>
      <c r="H31" t="e">
        <f t="shared" si="0"/>
        <v>#REF!</v>
      </c>
      <c r="I31" t="e">
        <f>+#REF!</f>
        <v>#REF!</v>
      </c>
      <c r="J31" t="e">
        <f>+#REF!</f>
        <v>#REF!</v>
      </c>
      <c r="K31" t="e">
        <f>+#REF!</f>
        <v>#REF!</v>
      </c>
      <c r="L31" t="e">
        <f>+#REF!</f>
        <v>#REF!</v>
      </c>
    </row>
    <row r="32" spans="1:12">
      <c r="A32" s="580" t="s">
        <v>549</v>
      </c>
      <c r="B32" s="581"/>
      <c r="C32" s="113"/>
      <c r="D32" s="128"/>
      <c r="H32" t="e">
        <f t="shared" si="0"/>
        <v>#REF!</v>
      </c>
      <c r="I32" t="e">
        <f>+#REF!</f>
        <v>#REF!</v>
      </c>
      <c r="J32" t="e">
        <f>+#REF!</f>
        <v>#REF!</v>
      </c>
      <c r="K32" t="e">
        <f>+#REF!</f>
        <v>#REF!</v>
      </c>
      <c r="L32" t="e">
        <f>+#REF!</f>
        <v>#REF!</v>
      </c>
    </row>
    <row r="33" spans="1:12" ht="22.5">
      <c r="A33" s="576" t="s">
        <v>551</v>
      </c>
      <c r="B33" s="577" t="s">
        <v>531</v>
      </c>
      <c r="C33" s="578">
        <v>1280646.3675625497</v>
      </c>
      <c r="D33" s="575">
        <f t="shared" ref="D33:D42" si="2">C33/trm_ref</f>
        <v>325.38105259684733</v>
      </c>
      <c r="H33" t="e">
        <f t="shared" si="0"/>
        <v>#REF!</v>
      </c>
      <c r="I33" t="e">
        <f>+#REF!</f>
        <v>#REF!</v>
      </c>
      <c r="J33" t="e">
        <f>+#REF!</f>
        <v>#REF!</v>
      </c>
      <c r="K33" t="e">
        <f>+#REF!</f>
        <v>#REF!</v>
      </c>
      <c r="L33" t="e">
        <f>+#REF!</f>
        <v>#REF!</v>
      </c>
    </row>
    <row r="34" spans="1:12" ht="22.5">
      <c r="A34" s="576" t="s">
        <v>553</v>
      </c>
      <c r="B34" s="577" t="s">
        <v>531</v>
      </c>
      <c r="C34" s="578">
        <v>1280646.3675625497</v>
      </c>
      <c r="D34" s="575">
        <f t="shared" si="2"/>
        <v>325.38105259684733</v>
      </c>
      <c r="H34" t="e">
        <f t="shared" si="0"/>
        <v>#REF!</v>
      </c>
      <c r="I34" t="e">
        <f>+#REF!</f>
        <v>#REF!</v>
      </c>
      <c r="J34" t="e">
        <f>+#REF!</f>
        <v>#REF!</v>
      </c>
      <c r="K34" t="e">
        <f>+#REF!</f>
        <v>#REF!</v>
      </c>
      <c r="L34" t="e">
        <f>+#REF!</f>
        <v>#REF!</v>
      </c>
    </row>
    <row r="35" spans="1:12">
      <c r="A35" s="576" t="s">
        <v>555</v>
      </c>
      <c r="B35" s="577" t="s">
        <v>497</v>
      </c>
      <c r="C35" s="578">
        <v>128064.63675625499</v>
      </c>
      <c r="D35" s="575">
        <f t="shared" si="2"/>
        <v>32.538105259684734</v>
      </c>
      <c r="H35" t="e">
        <f t="shared" ref="H35:H66" si="3">+I35*trm_ref</f>
        <v>#REF!</v>
      </c>
      <c r="I35" t="e">
        <f>+#REF!</f>
        <v>#REF!</v>
      </c>
      <c r="J35" t="e">
        <f>+#REF!</f>
        <v>#REF!</v>
      </c>
      <c r="K35" t="e">
        <f>+#REF!</f>
        <v>#REF!</v>
      </c>
      <c r="L35" t="e">
        <f>+#REF!</f>
        <v>#REF!</v>
      </c>
    </row>
    <row r="36" spans="1:12" ht="22.5">
      <c r="A36" s="576" t="s">
        <v>557</v>
      </c>
      <c r="B36" s="577" t="s">
        <v>531</v>
      </c>
      <c r="C36" s="578">
        <v>1280646.3675625497</v>
      </c>
      <c r="D36" s="575">
        <f t="shared" si="2"/>
        <v>325.38105259684733</v>
      </c>
      <c r="H36" t="e">
        <f t="shared" si="3"/>
        <v>#REF!</v>
      </c>
      <c r="I36" t="e">
        <f>+#REF!</f>
        <v>#REF!</v>
      </c>
      <c r="J36" t="e">
        <f>+#REF!</f>
        <v>#REF!</v>
      </c>
      <c r="K36" t="e">
        <f>+#REF!</f>
        <v>#REF!</v>
      </c>
      <c r="L36" t="e">
        <f>+#REF!</f>
        <v>#REF!</v>
      </c>
    </row>
    <row r="37" spans="1:12">
      <c r="A37" s="576" t="s">
        <v>559</v>
      </c>
      <c r="B37" s="577" t="s">
        <v>515</v>
      </c>
      <c r="C37" s="578">
        <v>107682.54460427737</v>
      </c>
      <c r="D37" s="575">
        <f t="shared" si="2"/>
        <v>27.359512037920492</v>
      </c>
      <c r="H37" t="e">
        <f t="shared" si="3"/>
        <v>#REF!</v>
      </c>
      <c r="I37" t="e">
        <f>+#REF!</f>
        <v>#REF!</v>
      </c>
      <c r="J37" t="e">
        <f>+#REF!</f>
        <v>#REF!</v>
      </c>
      <c r="K37" t="e">
        <f>+#REF!</f>
        <v>#REF!</v>
      </c>
      <c r="L37" t="e">
        <f>+#REF!</f>
        <v>#REF!</v>
      </c>
    </row>
    <row r="38" spans="1:12">
      <c r="A38" s="576" t="s">
        <v>561</v>
      </c>
      <c r="B38" s="577" t="s">
        <v>531</v>
      </c>
      <c r="C38" s="578">
        <v>1172733.3093769187</v>
      </c>
      <c r="D38" s="575">
        <f t="shared" si="2"/>
        <v>297.96297267192966</v>
      </c>
      <c r="H38" t="e">
        <f t="shared" si="3"/>
        <v>#REF!</v>
      </c>
      <c r="I38" t="e">
        <f>+#REF!</f>
        <v>#REF!</v>
      </c>
      <c r="J38" t="e">
        <f>+#REF!</f>
        <v>#REF!</v>
      </c>
      <c r="K38" t="e">
        <f>+#REF!</f>
        <v>#REF!</v>
      </c>
      <c r="L38" t="e">
        <f>+#REF!</f>
        <v>#REF!</v>
      </c>
    </row>
    <row r="39" spans="1:12">
      <c r="A39" s="576" t="s">
        <v>563</v>
      </c>
      <c r="B39" s="577" t="s">
        <v>513</v>
      </c>
      <c r="C39" s="578">
        <v>3200000</v>
      </c>
      <c r="D39" s="575">
        <f t="shared" si="2"/>
        <v>813.04206585277791</v>
      </c>
      <c r="H39" t="e">
        <f t="shared" si="3"/>
        <v>#REF!</v>
      </c>
      <c r="I39" t="e">
        <f>+#REF!</f>
        <v>#REF!</v>
      </c>
      <c r="J39" t="e">
        <f>+#REF!</f>
        <v>#REF!</v>
      </c>
      <c r="K39" t="e">
        <f>+#REF!</f>
        <v>#REF!</v>
      </c>
      <c r="L39" t="e">
        <f>+#REF!</f>
        <v>#REF!</v>
      </c>
    </row>
    <row r="40" spans="1:12">
      <c r="A40" s="576" t="s">
        <v>565</v>
      </c>
      <c r="B40" s="577" t="s">
        <v>513</v>
      </c>
      <c r="C40" s="578">
        <v>2735451.5942109162</v>
      </c>
      <c r="D40" s="575">
        <f t="shared" si="2"/>
        <v>695.01162974922443</v>
      </c>
      <c r="H40" t="e">
        <f t="shared" si="3"/>
        <v>#REF!</v>
      </c>
      <c r="I40" t="e">
        <f>+#REF!</f>
        <v>#REF!</v>
      </c>
      <c r="J40" t="e">
        <f>+#REF!</f>
        <v>#REF!</v>
      </c>
      <c r="K40" t="e">
        <f>+#REF!</f>
        <v>#REF!</v>
      </c>
      <c r="L40" t="e">
        <f>+#REF!</f>
        <v>#REF!</v>
      </c>
    </row>
    <row r="41" spans="1:12">
      <c r="A41" s="576" t="s">
        <v>567</v>
      </c>
      <c r="B41" s="577" t="s">
        <v>531</v>
      </c>
      <c r="C41" s="578">
        <v>850000</v>
      </c>
      <c r="D41" s="575">
        <f t="shared" si="2"/>
        <v>215.96429874214414</v>
      </c>
      <c r="H41" t="e">
        <f t="shared" si="3"/>
        <v>#REF!</v>
      </c>
      <c r="I41" t="e">
        <f>+#REF!</f>
        <v>#REF!</v>
      </c>
      <c r="J41" t="e">
        <f>+#REF!</f>
        <v>#REF!</v>
      </c>
      <c r="K41" t="e">
        <f>+#REF!</f>
        <v>#REF!</v>
      </c>
      <c r="L41" t="e">
        <f>+#REF!</f>
        <v>#REF!</v>
      </c>
    </row>
    <row r="42" spans="1:12">
      <c r="A42" s="576" t="s">
        <v>569</v>
      </c>
      <c r="B42" s="577" t="s">
        <v>515</v>
      </c>
      <c r="C42" s="578">
        <v>54677.594495852878</v>
      </c>
      <c r="D42" s="575">
        <f t="shared" si="2"/>
        <v>13.89224512024022</v>
      </c>
      <c r="H42" t="e">
        <f t="shared" si="3"/>
        <v>#REF!</v>
      </c>
      <c r="I42" t="e">
        <f>+#REF!</f>
        <v>#REF!</v>
      </c>
      <c r="J42" t="e">
        <f>+#REF!</f>
        <v>#REF!</v>
      </c>
      <c r="K42" t="e">
        <f>+#REF!</f>
        <v>#REF!</v>
      </c>
      <c r="L42" t="e">
        <f>+#REF!</f>
        <v>#REF!</v>
      </c>
    </row>
    <row r="43" spans="1:12" ht="22.5">
      <c r="A43" s="580" t="s">
        <v>570</v>
      </c>
      <c r="B43" s="581"/>
      <c r="C43" s="113"/>
      <c r="D43" s="128"/>
      <c r="H43" t="e">
        <f t="shared" si="3"/>
        <v>#REF!</v>
      </c>
      <c r="I43" t="e">
        <f>+#REF!</f>
        <v>#REF!</v>
      </c>
      <c r="J43" t="e">
        <f>+#REF!</f>
        <v>#REF!</v>
      </c>
      <c r="K43" t="e">
        <f>+#REF!</f>
        <v>#REF!</v>
      </c>
      <c r="L43" t="e">
        <f>+#REF!</f>
        <v>#REF!</v>
      </c>
    </row>
    <row r="44" spans="1:12">
      <c r="A44" s="576" t="s">
        <v>572</v>
      </c>
      <c r="B44" s="577" t="s">
        <v>504</v>
      </c>
      <c r="C44" s="578">
        <v>7551.2435958019078</v>
      </c>
      <c r="D44" s="575">
        <f>C44/trm_ref</f>
        <v>1.9185870915276071</v>
      </c>
      <c r="H44" t="e">
        <f t="shared" si="3"/>
        <v>#REF!</v>
      </c>
      <c r="I44" t="e">
        <f>+#REF!</f>
        <v>#REF!</v>
      </c>
      <c r="J44" t="e">
        <f>+#REF!</f>
        <v>#REF!</v>
      </c>
      <c r="K44" t="e">
        <f>+#REF!</f>
        <v>#REF!</v>
      </c>
      <c r="L44" t="e">
        <f>+#REF!</f>
        <v>#REF!</v>
      </c>
    </row>
    <row r="45" spans="1:12">
      <c r="A45" s="576" t="s">
        <v>574</v>
      </c>
      <c r="B45" s="577" t="s">
        <v>504</v>
      </c>
      <c r="C45" s="578">
        <v>8069.7066895210382</v>
      </c>
      <c r="D45" s="575">
        <f>C45/trm_ref</f>
        <v>2.0503159367731771</v>
      </c>
      <c r="H45" t="e">
        <f t="shared" si="3"/>
        <v>#REF!</v>
      </c>
      <c r="I45" t="e">
        <f>+#REF!</f>
        <v>#REF!</v>
      </c>
      <c r="J45" t="e">
        <f>+#REF!</f>
        <v>#REF!</v>
      </c>
      <c r="K45" t="e">
        <f>+#REF!</f>
        <v>#REF!</v>
      </c>
      <c r="L45" t="e">
        <f>+#REF!</f>
        <v>#REF!</v>
      </c>
    </row>
    <row r="46" spans="1:12">
      <c r="A46" s="580" t="s">
        <v>575</v>
      </c>
      <c r="B46" s="581"/>
      <c r="C46" s="113"/>
      <c r="D46" s="128"/>
      <c r="H46" t="e">
        <f t="shared" si="3"/>
        <v>#REF!</v>
      </c>
      <c r="I46" t="e">
        <f>+#REF!</f>
        <v>#REF!</v>
      </c>
      <c r="J46" t="e">
        <f>+#REF!</f>
        <v>#REF!</v>
      </c>
      <c r="K46" t="e">
        <f>+#REF!</f>
        <v>#REF!</v>
      </c>
      <c r="L46" t="e">
        <f>+#REF!</f>
        <v>#REF!</v>
      </c>
    </row>
    <row r="47" spans="1:12">
      <c r="A47" s="576" t="s">
        <v>577</v>
      </c>
      <c r="B47" s="577" t="s">
        <v>504</v>
      </c>
      <c r="C47" s="578">
        <v>23151.506053620316</v>
      </c>
      <c r="D47" s="575">
        <f>C47/trm_ref</f>
        <v>5.882233846699549</v>
      </c>
      <c r="H47" t="e">
        <f t="shared" si="3"/>
        <v>#REF!</v>
      </c>
      <c r="I47" t="e">
        <f>+#REF!</f>
        <v>#REF!</v>
      </c>
      <c r="J47" t="e">
        <f>+#REF!</f>
        <v>#REF!</v>
      </c>
      <c r="K47" t="e">
        <f>+#REF!</f>
        <v>#REF!</v>
      </c>
      <c r="L47" t="e">
        <f>+#REF!</f>
        <v>#REF!</v>
      </c>
    </row>
    <row r="48" spans="1:12">
      <c r="A48" s="580" t="s">
        <v>578</v>
      </c>
      <c r="B48" s="581"/>
      <c r="C48" s="113"/>
      <c r="D48" s="128"/>
      <c r="H48" t="e">
        <f t="shared" si="3"/>
        <v>#REF!</v>
      </c>
      <c r="I48" t="e">
        <f>+#REF!</f>
        <v>#REF!</v>
      </c>
      <c r="J48" t="e">
        <f>+#REF!</f>
        <v>#REF!</v>
      </c>
      <c r="K48" t="e">
        <f>+#REF!</f>
        <v>#REF!</v>
      </c>
      <c r="L48" t="e">
        <f>+#REF!</f>
        <v>#REF!</v>
      </c>
    </row>
    <row r="49" spans="1:12">
      <c r="A49" s="576" t="s">
        <v>580</v>
      </c>
      <c r="B49" s="577" t="s">
        <v>497</v>
      </c>
      <c r="C49" s="578">
        <v>28000</v>
      </c>
      <c r="D49" s="575">
        <f>C49/trm_ref</f>
        <v>7.114118076211807</v>
      </c>
      <c r="H49" t="e">
        <f t="shared" si="3"/>
        <v>#REF!</v>
      </c>
      <c r="I49" t="e">
        <f>+#REF!</f>
        <v>#REF!</v>
      </c>
      <c r="J49" t="e">
        <f>+#REF!</f>
        <v>#REF!</v>
      </c>
      <c r="K49" t="e">
        <f>+#REF!</f>
        <v>#REF!</v>
      </c>
      <c r="L49" t="e">
        <f>+#REF!</f>
        <v>#REF!</v>
      </c>
    </row>
    <row r="50" spans="1:12">
      <c r="A50" s="576" t="s">
        <v>582</v>
      </c>
      <c r="B50" s="577" t="s">
        <v>497</v>
      </c>
      <c r="C50" s="578">
        <v>7500</v>
      </c>
      <c r="D50" s="575">
        <f>C50/trm_ref</f>
        <v>1.9055673418424484</v>
      </c>
      <c r="H50" t="e">
        <f t="shared" si="3"/>
        <v>#REF!</v>
      </c>
      <c r="I50" t="e">
        <f>+#REF!</f>
        <v>#REF!</v>
      </c>
      <c r="J50" t="e">
        <f>+#REF!</f>
        <v>#REF!</v>
      </c>
      <c r="K50" t="e">
        <f>+#REF!</f>
        <v>#REF!</v>
      </c>
      <c r="L50" t="e">
        <f>+#REF!</f>
        <v>#REF!</v>
      </c>
    </row>
    <row r="51" spans="1:12">
      <c r="A51" s="91" t="s">
        <v>583</v>
      </c>
      <c r="B51" s="90"/>
      <c r="C51" s="116"/>
      <c r="D51" s="129"/>
      <c r="H51" t="e">
        <f t="shared" si="3"/>
        <v>#REF!</v>
      </c>
      <c r="I51" t="e">
        <f>+#REF!</f>
        <v>#REF!</v>
      </c>
      <c r="J51" t="e">
        <f>+#REF!</f>
        <v>#REF!</v>
      </c>
      <c r="K51" t="e">
        <f>+#REF!</f>
        <v>#REF!</v>
      </c>
      <c r="L51" t="e">
        <f>+#REF!</f>
        <v>#REF!</v>
      </c>
    </row>
    <row r="52" spans="1:12">
      <c r="A52" s="576" t="s">
        <v>584</v>
      </c>
      <c r="B52" s="577" t="s">
        <v>504</v>
      </c>
      <c r="C52" s="578">
        <v>20119.07928671363</v>
      </c>
      <c r="D52" s="575">
        <f t="shared" ref="D52:D64" si="4">C52/trm_ref</f>
        <v>5.1117680582267138</v>
      </c>
      <c r="H52" t="e">
        <f t="shared" si="3"/>
        <v>#REF!</v>
      </c>
      <c r="I52" t="e">
        <f>+#REF!</f>
        <v>#REF!</v>
      </c>
      <c r="J52" t="e">
        <f>+#REF!</f>
        <v>#REF!</v>
      </c>
      <c r="K52" t="e">
        <f>+#REF!</f>
        <v>#REF!</v>
      </c>
      <c r="L52" t="e">
        <f>+#REF!</f>
        <v>#REF!</v>
      </c>
    </row>
    <row r="53" spans="1:12">
      <c r="A53" s="576" t="s">
        <v>588</v>
      </c>
      <c r="B53" s="577" t="s">
        <v>515</v>
      </c>
      <c r="C53" s="578">
        <v>285000</v>
      </c>
      <c r="D53" s="575">
        <f t="shared" si="4"/>
        <v>72.411558990013035</v>
      </c>
      <c r="H53" t="e">
        <f t="shared" si="3"/>
        <v>#REF!</v>
      </c>
      <c r="I53" t="e">
        <f>+#REF!</f>
        <v>#REF!</v>
      </c>
      <c r="J53" t="e">
        <f>+#REF!</f>
        <v>#REF!</v>
      </c>
      <c r="K53" t="e">
        <f>+#REF!</f>
        <v>#REF!</v>
      </c>
      <c r="L53" t="e">
        <f>+#REF!</f>
        <v>#REF!</v>
      </c>
    </row>
    <row r="54" spans="1:12">
      <c r="A54" s="576" t="s">
        <v>590</v>
      </c>
      <c r="B54" s="577" t="s">
        <v>513</v>
      </c>
      <c r="C54" s="578">
        <v>350000</v>
      </c>
      <c r="D54" s="575">
        <f t="shared" si="4"/>
        <v>88.926475952647593</v>
      </c>
      <c r="H54" t="e">
        <f t="shared" si="3"/>
        <v>#REF!</v>
      </c>
      <c r="I54" t="e">
        <f>+#REF!</f>
        <v>#REF!</v>
      </c>
      <c r="J54" t="e">
        <f>+#REF!</f>
        <v>#REF!</v>
      </c>
      <c r="K54" t="e">
        <f>+#REF!</f>
        <v>#REF!</v>
      </c>
      <c r="L54" t="e">
        <f>+#REF!</f>
        <v>#REF!</v>
      </c>
    </row>
    <row r="55" spans="1:12" ht="22.5">
      <c r="A55" s="576" t="s">
        <v>592</v>
      </c>
      <c r="B55" s="577" t="s">
        <v>513</v>
      </c>
      <c r="C55" s="578">
        <v>3752433.7862201165</v>
      </c>
      <c r="D55" s="575">
        <f t="shared" si="4"/>
        <v>953.4020367263015</v>
      </c>
      <c r="H55" t="e">
        <f t="shared" si="3"/>
        <v>#REF!</v>
      </c>
      <c r="I55" t="e">
        <f>+#REF!</f>
        <v>#REF!</v>
      </c>
      <c r="J55" t="e">
        <f>+#REF!</f>
        <v>#REF!</v>
      </c>
      <c r="K55" t="e">
        <f>+#REF!</f>
        <v>#REF!</v>
      </c>
      <c r="L55" t="e">
        <f>+#REF!</f>
        <v>#REF!</v>
      </c>
    </row>
    <row r="56" spans="1:12" ht="22.5">
      <c r="A56" s="576" t="s">
        <v>594</v>
      </c>
      <c r="B56" s="577" t="s">
        <v>513</v>
      </c>
      <c r="C56" s="578">
        <v>1850000</v>
      </c>
      <c r="D56" s="575">
        <f t="shared" si="4"/>
        <v>470.03994432113723</v>
      </c>
      <c r="H56" t="e">
        <f t="shared" si="3"/>
        <v>#REF!</v>
      </c>
      <c r="I56" t="e">
        <f>+#REF!</f>
        <v>#REF!</v>
      </c>
      <c r="J56" t="e">
        <f>+#REF!</f>
        <v>#REF!</v>
      </c>
      <c r="K56" t="e">
        <f>+#REF!</f>
        <v>#REF!</v>
      </c>
      <c r="L56" t="e">
        <f>+#REF!</f>
        <v>#REF!</v>
      </c>
    </row>
    <row r="57" spans="1:12">
      <c r="A57" s="576" t="s">
        <v>596</v>
      </c>
      <c r="B57" s="577" t="s">
        <v>513</v>
      </c>
      <c r="C57" s="578">
        <v>624000</v>
      </c>
      <c r="D57" s="575">
        <f t="shared" si="4"/>
        <v>158.5432028412917</v>
      </c>
      <c r="H57" t="e">
        <f t="shared" si="3"/>
        <v>#REF!</v>
      </c>
      <c r="I57" t="e">
        <f>+#REF!</f>
        <v>#REF!</v>
      </c>
      <c r="J57" t="e">
        <f>+#REF!</f>
        <v>#REF!</v>
      </c>
      <c r="K57" t="e">
        <f>+#REF!</f>
        <v>#REF!</v>
      </c>
      <c r="L57" t="e">
        <f>+#REF!</f>
        <v>#REF!</v>
      </c>
    </row>
    <row r="58" spans="1:12">
      <c r="A58" s="576" t="s">
        <v>598</v>
      </c>
      <c r="B58" s="577" t="s">
        <v>513</v>
      </c>
      <c r="C58" s="578">
        <v>525000</v>
      </c>
      <c r="D58" s="575">
        <f t="shared" si="4"/>
        <v>133.38971392897139</v>
      </c>
      <c r="H58" t="e">
        <f t="shared" si="3"/>
        <v>#REF!</v>
      </c>
      <c r="I58" t="e">
        <f>+#REF!</f>
        <v>#REF!</v>
      </c>
      <c r="J58" t="e">
        <f>+#REF!</f>
        <v>#REF!</v>
      </c>
      <c r="K58" t="e">
        <f>+#REF!</f>
        <v>#REF!</v>
      </c>
      <c r="L58" t="e">
        <f>+#REF!</f>
        <v>#REF!</v>
      </c>
    </row>
    <row r="59" spans="1:12">
      <c r="A59" s="576" t="s">
        <v>600</v>
      </c>
      <c r="B59" s="577" t="s">
        <v>513</v>
      </c>
      <c r="C59" s="578">
        <v>450000</v>
      </c>
      <c r="D59" s="575">
        <f t="shared" si="4"/>
        <v>114.3340405105469</v>
      </c>
      <c r="H59" t="e">
        <f t="shared" si="3"/>
        <v>#REF!</v>
      </c>
      <c r="I59" t="e">
        <f>+#REF!</f>
        <v>#REF!</v>
      </c>
      <c r="J59" t="e">
        <f>+#REF!</f>
        <v>#REF!</v>
      </c>
      <c r="K59" t="e">
        <f>+#REF!</f>
        <v>#REF!</v>
      </c>
      <c r="L59" t="e">
        <f>+#REF!</f>
        <v>#REF!</v>
      </c>
    </row>
    <row r="60" spans="1:12">
      <c r="A60" s="576" t="s">
        <v>602</v>
      </c>
      <c r="B60" s="577" t="s">
        <v>513</v>
      </c>
      <c r="C60" s="578">
        <v>1819422.6696177081</v>
      </c>
      <c r="D60" s="575">
        <f t="shared" si="4"/>
        <v>462.27098936417428</v>
      </c>
      <c r="H60" t="e">
        <f t="shared" si="3"/>
        <v>#REF!</v>
      </c>
      <c r="I60" t="e">
        <f>+#REF!</f>
        <v>#REF!</v>
      </c>
      <c r="J60" t="e">
        <f>+#REF!</f>
        <v>#REF!</v>
      </c>
      <c r="K60" t="e">
        <f>+#REF!</f>
        <v>#REF!</v>
      </c>
      <c r="L60" t="e">
        <f>+#REF!</f>
        <v>#REF!</v>
      </c>
    </row>
    <row r="61" spans="1:12" ht="22.5">
      <c r="A61" s="576" t="s">
        <v>604</v>
      </c>
      <c r="B61" s="577" t="s">
        <v>497</v>
      </c>
      <c r="C61" s="578">
        <v>169705.00196185897</v>
      </c>
      <c r="D61" s="575">
        <f t="shared" si="4"/>
        <v>43.117907931443611</v>
      </c>
      <c r="H61" t="e">
        <f t="shared" si="3"/>
        <v>#REF!</v>
      </c>
      <c r="I61" t="e">
        <f>+#REF!</f>
        <v>#REF!</v>
      </c>
      <c r="J61" t="e">
        <f>+#REF!</f>
        <v>#REF!</v>
      </c>
      <c r="K61" t="e">
        <f>+#REF!</f>
        <v>#REF!</v>
      </c>
      <c r="L61" t="e">
        <f>+#REF!</f>
        <v>#REF!</v>
      </c>
    </row>
    <row r="62" spans="1:12" ht="22.5">
      <c r="A62" s="576" t="s">
        <v>606</v>
      </c>
      <c r="B62" s="577" t="s">
        <v>497</v>
      </c>
      <c r="C62" s="578">
        <v>178034.78393283856</v>
      </c>
      <c r="D62" s="575">
        <f t="shared" si="4"/>
        <v>45.234302663252507</v>
      </c>
      <c r="H62" t="e">
        <f t="shared" si="3"/>
        <v>#REF!</v>
      </c>
      <c r="I62" t="e">
        <f>+#REF!</f>
        <v>#REF!</v>
      </c>
      <c r="J62" t="e">
        <f>+#REF!</f>
        <v>#REF!</v>
      </c>
      <c r="K62" t="e">
        <f>+#REF!</f>
        <v>#REF!</v>
      </c>
      <c r="L62" t="e">
        <f>+#REF!</f>
        <v>#REF!</v>
      </c>
    </row>
    <row r="63" spans="1:12">
      <c r="A63" s="576" t="s">
        <v>608</v>
      </c>
      <c r="B63" s="577" t="s">
        <v>679</v>
      </c>
      <c r="C63" s="578">
        <v>7393.9167878415265</v>
      </c>
      <c r="D63" s="575">
        <f t="shared" si="4"/>
        <v>1.8786141812281909</v>
      </c>
      <c r="H63" t="e">
        <f t="shared" si="3"/>
        <v>#REF!</v>
      </c>
      <c r="I63" t="e">
        <f>+#REF!</f>
        <v>#REF!</v>
      </c>
      <c r="J63" t="e">
        <f>+#REF!</f>
        <v>#REF!</v>
      </c>
      <c r="K63" t="e">
        <f>+#REF!</f>
        <v>#REF!</v>
      </c>
      <c r="L63" t="e">
        <f>+#REF!</f>
        <v>#REF!</v>
      </c>
    </row>
    <row r="64" spans="1:12">
      <c r="A64" s="576" t="s">
        <v>611</v>
      </c>
      <c r="B64" s="577" t="s">
        <v>513</v>
      </c>
      <c r="C64" s="578">
        <v>10900000</v>
      </c>
      <c r="D64" s="575">
        <f t="shared" si="4"/>
        <v>2769.4245368110251</v>
      </c>
      <c r="H64" t="e">
        <f t="shared" si="3"/>
        <v>#REF!</v>
      </c>
      <c r="I64" t="e">
        <f>+#REF!</f>
        <v>#REF!</v>
      </c>
      <c r="J64" t="e">
        <f>+#REF!</f>
        <v>#REF!</v>
      </c>
      <c r="K64" t="e">
        <f>+#REF!</f>
        <v>#REF!</v>
      </c>
      <c r="L64" t="e">
        <f>+#REF!</f>
        <v>#REF!</v>
      </c>
    </row>
    <row r="65" spans="1:12">
      <c r="A65" s="91" t="s">
        <v>612</v>
      </c>
      <c r="B65" s="92"/>
      <c r="C65" s="93"/>
      <c r="D65" s="127"/>
      <c r="H65" s="800" t="e">
        <f t="shared" si="3"/>
        <v>#REF!</v>
      </c>
      <c r="I65" s="800" t="e">
        <f>+#REF!</f>
        <v>#REF!</v>
      </c>
      <c r="J65" s="800" t="e">
        <f>+#REF!</f>
        <v>#REF!</v>
      </c>
      <c r="K65" t="e">
        <f>+#REF!</f>
        <v>#REF!</v>
      </c>
      <c r="L65" t="e">
        <f>+#REF!</f>
        <v>#REF!</v>
      </c>
    </row>
    <row r="66" spans="1:12">
      <c r="A66" s="576" t="s">
        <v>617</v>
      </c>
      <c r="B66" s="577" t="s">
        <v>513</v>
      </c>
      <c r="C66" s="583">
        <v>14206417.910447801</v>
      </c>
      <c r="D66" s="575">
        <f>C66/trm_ref</f>
        <v>3609.5048019619953</v>
      </c>
      <c r="H66" t="e">
        <f t="shared" si="3"/>
        <v>#REF!</v>
      </c>
      <c r="I66" t="e">
        <f>+#REF!</f>
        <v>#REF!</v>
      </c>
      <c r="J66" t="e">
        <f>+#REF!</f>
        <v>#REF!</v>
      </c>
      <c r="K66" t="e">
        <f>+#REF!</f>
        <v>#REF!</v>
      </c>
      <c r="L66" t="e">
        <f>+#REF!</f>
        <v>#REF!</v>
      </c>
    </row>
    <row r="67" spans="1:12">
      <c r="A67" s="576" t="s">
        <v>614</v>
      </c>
      <c r="B67" s="577" t="s">
        <v>513</v>
      </c>
      <c r="C67" s="583">
        <v>14916738.805970199</v>
      </c>
      <c r="D67" s="575">
        <f>C67/trm_ref</f>
        <v>3789.9800420600973</v>
      </c>
      <c r="H67" t="e">
        <f t="shared" ref="H67:H98" si="5">+I67*trm_ref</f>
        <v>#REF!</v>
      </c>
      <c r="I67" t="e">
        <f>+#REF!</f>
        <v>#REF!</v>
      </c>
      <c r="J67" t="e">
        <f>+#REF!</f>
        <v>#REF!</v>
      </c>
      <c r="K67" t="e">
        <f>+#REF!</f>
        <v>#REF!</v>
      </c>
      <c r="L67" t="e">
        <f>+#REF!</f>
        <v>#REF!</v>
      </c>
    </row>
    <row r="68" spans="1:12" ht="22.5">
      <c r="A68" s="576" t="s">
        <v>616</v>
      </c>
      <c r="B68" s="577" t="s">
        <v>513</v>
      </c>
      <c r="C68" s="583">
        <v>46599847.595356502</v>
      </c>
      <c r="D68" s="575">
        <f>C68/trm_ref</f>
        <v>11839.886361672892</v>
      </c>
      <c r="H68" t="e">
        <f t="shared" si="5"/>
        <v>#REF!</v>
      </c>
      <c r="I68" t="e">
        <f>+#REF!</f>
        <v>#REF!</v>
      </c>
      <c r="J68" t="e">
        <f>+#REF!</f>
        <v>#REF!</v>
      </c>
      <c r="K68" t="e">
        <f>+#REF!</f>
        <v>#REF!</v>
      </c>
      <c r="L68" t="e">
        <f>+#REF!</f>
        <v>#REF!</v>
      </c>
    </row>
    <row r="69" spans="1:12">
      <c r="A69" s="576" t="s">
        <v>618</v>
      </c>
      <c r="B69" s="577" t="s">
        <v>513</v>
      </c>
      <c r="C69" s="583">
        <v>45242570.480928697</v>
      </c>
      <c r="D69" s="575">
        <f>C69/trm_ref</f>
        <v>11495.035302595055</v>
      </c>
      <c r="H69" t="e">
        <f t="shared" si="5"/>
        <v>#REF!</v>
      </c>
      <c r="I69" t="e">
        <f>+#REF!</f>
        <v>#REF!</v>
      </c>
      <c r="J69" t="e">
        <f>+#REF!</f>
        <v>#REF!</v>
      </c>
      <c r="K69" t="e">
        <f>+#REF!</f>
        <v>#REF!</v>
      </c>
      <c r="L69" t="e">
        <f>+#REF!</f>
        <v>#REF!</v>
      </c>
    </row>
    <row r="70" spans="1:12" ht="22.5">
      <c r="A70" s="580" t="s">
        <v>619</v>
      </c>
      <c r="B70" s="581"/>
      <c r="C70" s="111"/>
      <c r="D70" s="128"/>
      <c r="H70" t="e">
        <f t="shared" si="5"/>
        <v>#REF!</v>
      </c>
      <c r="I70" t="e">
        <f>+#REF!</f>
        <v>#REF!</v>
      </c>
      <c r="J70" t="e">
        <f>+#REF!</f>
        <v>#REF!</v>
      </c>
      <c r="K70" t="e">
        <f>+#REF!</f>
        <v>#REF!</v>
      </c>
      <c r="L70" t="e">
        <f>+#REF!</f>
        <v>#REF!</v>
      </c>
    </row>
    <row r="71" spans="1:12" ht="22.5">
      <c r="A71" s="576" t="s">
        <v>621</v>
      </c>
      <c r="B71" s="577" t="s">
        <v>515</v>
      </c>
      <c r="C71" s="578">
        <v>12724.0311578947</v>
      </c>
      <c r="D71" s="575">
        <f>C71/trm_ref</f>
        <v>3.2328664308093193</v>
      </c>
      <c r="H71" t="e">
        <f t="shared" si="5"/>
        <v>#REF!</v>
      </c>
      <c r="I71" t="e">
        <f>+#REF!</f>
        <v>#REF!</v>
      </c>
      <c r="J71" t="e">
        <f>+#REF!</f>
        <v>#REF!</v>
      </c>
      <c r="K71" t="e">
        <f>+#REF!</f>
        <v>#REF!</v>
      </c>
      <c r="L71" t="e">
        <f>+#REF!</f>
        <v>#REF!</v>
      </c>
    </row>
    <row r="72" spans="1:12" ht="22.5">
      <c r="A72" s="576" t="s">
        <v>623</v>
      </c>
      <c r="B72" s="577" t="s">
        <v>515</v>
      </c>
      <c r="C72" s="578">
        <v>11713.2075789474</v>
      </c>
      <c r="D72" s="575">
        <f>C72/trm_ref</f>
        <v>2.9760407774218156</v>
      </c>
      <c r="H72" t="e">
        <f t="shared" si="5"/>
        <v>#REF!</v>
      </c>
      <c r="I72" t="e">
        <f>+#REF!</f>
        <v>#REF!</v>
      </c>
      <c r="J72" t="e">
        <f>+#REF!</f>
        <v>#REF!</v>
      </c>
      <c r="K72" t="e">
        <f>+#REF!</f>
        <v>#REF!</v>
      </c>
      <c r="L72" t="e">
        <f>+#REF!</f>
        <v>#REF!</v>
      </c>
    </row>
    <row r="73" spans="1:12" ht="22.5">
      <c r="A73" s="576" t="s">
        <v>625</v>
      </c>
      <c r="B73" s="577" t="s">
        <v>515</v>
      </c>
      <c r="C73" s="578">
        <v>65993.905817174498</v>
      </c>
      <c r="D73" s="575">
        <f>C73/trm_ref</f>
        <v>16.767444224777879</v>
      </c>
      <c r="H73" t="e">
        <f t="shared" si="5"/>
        <v>#REF!</v>
      </c>
      <c r="I73" t="e">
        <f>+#REF!</f>
        <v>#REF!</v>
      </c>
      <c r="J73" t="e">
        <f>+#REF!</f>
        <v>#REF!</v>
      </c>
      <c r="K73" t="e">
        <f>+#REF!</f>
        <v>#REF!</v>
      </c>
      <c r="L73" t="e">
        <f>+#REF!</f>
        <v>#REF!</v>
      </c>
    </row>
    <row r="74" spans="1:12">
      <c r="A74" s="91" t="s">
        <v>626</v>
      </c>
      <c r="B74" s="92"/>
      <c r="C74" s="93"/>
      <c r="D74" s="127"/>
      <c r="H74" t="e">
        <f t="shared" si="5"/>
        <v>#REF!</v>
      </c>
      <c r="I74" t="e">
        <f>+#REF!</f>
        <v>#REF!</v>
      </c>
      <c r="J74" t="e">
        <f>+#REF!</f>
        <v>#REF!</v>
      </c>
      <c r="K74" t="e">
        <f>+#REF!</f>
        <v>#REF!</v>
      </c>
      <c r="L74" t="e">
        <f>+#REF!</f>
        <v>#REF!</v>
      </c>
    </row>
    <row r="75" spans="1:12">
      <c r="A75" s="580" t="s">
        <v>627</v>
      </c>
      <c r="B75" s="581"/>
      <c r="C75" s="111"/>
      <c r="D75" s="128"/>
      <c r="H75" t="e">
        <f t="shared" si="5"/>
        <v>#REF!</v>
      </c>
      <c r="I75" t="e">
        <f>+#REF!</f>
        <v>#REF!</v>
      </c>
      <c r="J75" t="e">
        <f>+#REF!</f>
        <v>#REF!</v>
      </c>
      <c r="K75" t="e">
        <f>+#REF!</f>
        <v>#REF!</v>
      </c>
      <c r="L75" t="e">
        <f>+#REF!</f>
        <v>#REF!</v>
      </c>
    </row>
    <row r="76" spans="1:12">
      <c r="A76" s="576" t="s">
        <v>629</v>
      </c>
      <c r="B76" s="577" t="s">
        <v>504</v>
      </c>
      <c r="C76" s="578">
        <v>14806</v>
      </c>
      <c r="D76" s="575">
        <f t="shared" ref="D76:D84" si="6">C76/trm_ref</f>
        <v>3.7618440084425719</v>
      </c>
      <c r="H76" t="e">
        <f t="shared" si="5"/>
        <v>#REF!</v>
      </c>
      <c r="I76" t="e">
        <f>+#REF!</f>
        <v>#REF!</v>
      </c>
      <c r="J76" t="e">
        <f>+#REF!</f>
        <v>#REF!</v>
      </c>
      <c r="K76" t="e">
        <f>+#REF!</f>
        <v>#REF!</v>
      </c>
      <c r="L76" t="e">
        <f>+#REF!</f>
        <v>#REF!</v>
      </c>
    </row>
    <row r="77" spans="1:12">
      <c r="A77" s="576" t="s">
        <v>631</v>
      </c>
      <c r="B77" s="577" t="s">
        <v>504</v>
      </c>
      <c r="C77" s="578">
        <v>11373</v>
      </c>
      <c r="D77" s="575">
        <f t="shared" si="6"/>
        <v>2.8896023171698886</v>
      </c>
      <c r="H77" t="e">
        <f t="shared" si="5"/>
        <v>#REF!</v>
      </c>
      <c r="I77" t="e">
        <f>+#REF!</f>
        <v>#REF!</v>
      </c>
      <c r="J77" t="e">
        <f>+#REF!</f>
        <v>#REF!</v>
      </c>
      <c r="K77" t="e">
        <f>+#REF!</f>
        <v>#REF!</v>
      </c>
      <c r="L77" t="e">
        <f>+#REF!</f>
        <v>#REF!</v>
      </c>
    </row>
    <row r="78" spans="1:12">
      <c r="A78" s="576" t="s">
        <v>633</v>
      </c>
      <c r="B78" s="577" t="s">
        <v>504</v>
      </c>
      <c r="C78" s="578">
        <v>168725</v>
      </c>
      <c r="D78" s="575">
        <f t="shared" si="6"/>
        <v>42.868913300315612</v>
      </c>
      <c r="H78" t="e">
        <f t="shared" si="5"/>
        <v>#REF!</v>
      </c>
      <c r="I78" t="e">
        <f>+#REF!</f>
        <v>#REF!</v>
      </c>
      <c r="J78" t="e">
        <f>+#REF!</f>
        <v>#REF!</v>
      </c>
      <c r="K78" t="e">
        <f>+#REF!</f>
        <v>#REF!</v>
      </c>
      <c r="L78" t="e">
        <f>+#REF!</f>
        <v>#REF!</v>
      </c>
    </row>
    <row r="79" spans="1:12">
      <c r="A79" s="576" t="s">
        <v>635</v>
      </c>
      <c r="B79" s="577" t="s">
        <v>504</v>
      </c>
      <c r="C79" s="578">
        <v>17200</v>
      </c>
      <c r="D79" s="575">
        <f t="shared" si="6"/>
        <v>4.3701011039586817</v>
      </c>
      <c r="H79" t="e">
        <f t="shared" si="5"/>
        <v>#REF!</v>
      </c>
      <c r="I79" t="e">
        <f>+#REF!</f>
        <v>#REF!</v>
      </c>
      <c r="J79" t="e">
        <f>+#REF!</f>
        <v>#REF!</v>
      </c>
      <c r="K79" t="e">
        <f>+#REF!</f>
        <v>#REF!</v>
      </c>
      <c r="L79" t="e">
        <f>+#REF!</f>
        <v>#REF!</v>
      </c>
    </row>
    <row r="80" spans="1:12">
      <c r="A80" s="576" t="s">
        <v>637</v>
      </c>
      <c r="B80" s="577" t="s">
        <v>504</v>
      </c>
      <c r="C80" s="578">
        <v>14330</v>
      </c>
      <c r="D80" s="575">
        <f t="shared" si="6"/>
        <v>3.6409040011469713</v>
      </c>
      <c r="H80" t="e">
        <f t="shared" si="5"/>
        <v>#REF!</v>
      </c>
      <c r="I80" t="e">
        <f>+#REF!</f>
        <v>#REF!</v>
      </c>
      <c r="J80" t="e">
        <f>+#REF!</f>
        <v>#REF!</v>
      </c>
      <c r="K80" t="e">
        <f>+#REF!</f>
        <v>#REF!</v>
      </c>
      <c r="L80" t="e">
        <f>+#REF!</f>
        <v>#REF!</v>
      </c>
    </row>
    <row r="81" spans="1:12">
      <c r="A81" s="576" t="s">
        <v>639</v>
      </c>
      <c r="B81" s="577" t="s">
        <v>504</v>
      </c>
      <c r="C81" s="578">
        <v>27823</v>
      </c>
      <c r="D81" s="575">
        <f t="shared" si="6"/>
        <v>7.0691466869443254</v>
      </c>
      <c r="H81" t="e">
        <f t="shared" si="5"/>
        <v>#REF!</v>
      </c>
      <c r="I81" t="e">
        <f>+#REF!</f>
        <v>#REF!</v>
      </c>
      <c r="J81" t="e">
        <f>+#REF!</f>
        <v>#REF!</v>
      </c>
      <c r="K81" t="e">
        <f>+#REF!</f>
        <v>#REF!</v>
      </c>
      <c r="L81" t="e">
        <f>+#REF!</f>
        <v>#REF!</v>
      </c>
    </row>
    <row r="82" spans="1:12">
      <c r="A82" s="576" t="s">
        <v>641</v>
      </c>
      <c r="B82" s="577" t="s">
        <v>504</v>
      </c>
      <c r="C82" s="578">
        <v>16785</v>
      </c>
      <c r="D82" s="575">
        <f t="shared" si="6"/>
        <v>4.2646597110433992</v>
      </c>
      <c r="H82" t="e">
        <f t="shared" si="5"/>
        <v>#REF!</v>
      </c>
      <c r="I82" t="e">
        <f>+#REF!</f>
        <v>#REF!</v>
      </c>
      <c r="J82" t="e">
        <f>+#REF!</f>
        <v>#REF!</v>
      </c>
      <c r="K82" t="e">
        <f>+#REF!</f>
        <v>#REF!</v>
      </c>
      <c r="L82" t="e">
        <f>+#REF!</f>
        <v>#REF!</v>
      </c>
    </row>
    <row r="83" spans="1:12">
      <c r="A83" s="576" t="s">
        <v>643</v>
      </c>
      <c r="B83" s="577" t="s">
        <v>504</v>
      </c>
      <c r="C83" s="578">
        <v>13359</v>
      </c>
      <c r="D83" s="575">
        <f t="shared" si="6"/>
        <v>3.3941965492897688</v>
      </c>
      <c r="H83" t="e">
        <f t="shared" si="5"/>
        <v>#REF!</v>
      </c>
      <c r="I83" t="e">
        <f>+#REF!</f>
        <v>#REF!</v>
      </c>
      <c r="J83" t="e">
        <f>+#REF!</f>
        <v>#REF!</v>
      </c>
      <c r="K83" t="e">
        <f>+#REF!</f>
        <v>#REF!</v>
      </c>
      <c r="L83" t="e">
        <f>+#REF!</f>
        <v>#REF!</v>
      </c>
    </row>
    <row r="84" spans="1:12">
      <c r="A84" s="576" t="s">
        <v>645</v>
      </c>
      <c r="B84" s="577" t="s">
        <v>513</v>
      </c>
      <c r="C84" s="578">
        <v>1850000</v>
      </c>
      <c r="D84" s="575">
        <f t="shared" si="6"/>
        <v>470.03994432113723</v>
      </c>
      <c r="H84" t="e">
        <f t="shared" si="5"/>
        <v>#REF!</v>
      </c>
      <c r="I84" t="e">
        <f>+#REF!</f>
        <v>#REF!</v>
      </c>
      <c r="J84" t="e">
        <f>+#REF!</f>
        <v>#REF!</v>
      </c>
      <c r="K84" t="e">
        <f>+#REF!</f>
        <v>#REF!</v>
      </c>
      <c r="L84" t="e">
        <f>+#REF!</f>
        <v>#REF!</v>
      </c>
    </row>
    <row r="85" spans="1:12">
      <c r="A85" s="580" t="s">
        <v>646</v>
      </c>
      <c r="B85" s="584"/>
      <c r="C85" s="113"/>
      <c r="D85" s="128"/>
      <c r="H85" t="e">
        <f t="shared" si="5"/>
        <v>#REF!</v>
      </c>
      <c r="I85" t="e">
        <f>+#REF!</f>
        <v>#REF!</v>
      </c>
      <c r="J85" t="e">
        <f>+#REF!</f>
        <v>#REF!</v>
      </c>
      <c r="K85" t="e">
        <f>+#REF!</f>
        <v>#REF!</v>
      </c>
      <c r="L85" t="e">
        <f>+#REF!</f>
        <v>#REF!</v>
      </c>
    </row>
    <row r="86" spans="1:12">
      <c r="A86" s="576" t="s">
        <v>648</v>
      </c>
      <c r="B86" s="577" t="s">
        <v>515</v>
      </c>
      <c r="C86" s="578">
        <v>110400</v>
      </c>
      <c r="D86" s="575">
        <f>C86/trm_ref</f>
        <v>28.04995127192084</v>
      </c>
      <c r="H86" t="e">
        <f t="shared" si="5"/>
        <v>#REF!</v>
      </c>
      <c r="I86" t="e">
        <f>+#REF!</f>
        <v>#REF!</v>
      </c>
      <c r="J86" t="e">
        <f>+#REF!</f>
        <v>#REF!</v>
      </c>
      <c r="K86" t="e">
        <f>+#REF!</f>
        <v>#REF!</v>
      </c>
      <c r="L86" t="e">
        <f>+#REF!</f>
        <v>#REF!</v>
      </c>
    </row>
    <row r="87" spans="1:12">
      <c r="A87" s="576" t="s">
        <v>650</v>
      </c>
      <c r="B87" s="577" t="s">
        <v>515</v>
      </c>
      <c r="C87" s="578">
        <v>100200</v>
      </c>
      <c r="D87" s="575">
        <f>C87/trm_ref</f>
        <v>25.45837968701511</v>
      </c>
      <c r="H87" t="e">
        <f t="shared" si="5"/>
        <v>#REF!</v>
      </c>
      <c r="I87" t="e">
        <f>+#REF!</f>
        <v>#REF!</v>
      </c>
      <c r="J87" t="e">
        <f>+#REF!</f>
        <v>#REF!</v>
      </c>
      <c r="K87" t="e">
        <f>+#REF!</f>
        <v>#REF!</v>
      </c>
      <c r="L87" t="e">
        <f>+#REF!</f>
        <v>#REF!</v>
      </c>
    </row>
    <row r="88" spans="1:12">
      <c r="A88" s="580" t="s">
        <v>651</v>
      </c>
      <c r="B88" s="584"/>
      <c r="C88" s="113"/>
      <c r="D88" s="128"/>
      <c r="H88" t="e">
        <f t="shared" si="5"/>
        <v>#REF!</v>
      </c>
      <c r="I88" t="e">
        <f>+#REF!</f>
        <v>#REF!</v>
      </c>
      <c r="J88" t="e">
        <f>+#REF!</f>
        <v>#REF!</v>
      </c>
      <c r="K88" t="e">
        <f>+#REF!</f>
        <v>#REF!</v>
      </c>
      <c r="L88" t="e">
        <f>+#REF!</f>
        <v>#REF!</v>
      </c>
    </row>
    <row r="89" spans="1:12" ht="22.5">
      <c r="A89" s="576" t="s">
        <v>653</v>
      </c>
      <c r="B89" s="577" t="s">
        <v>497</v>
      </c>
      <c r="C89" s="578">
        <v>94411.762165894572</v>
      </c>
      <c r="D89" s="575">
        <f>C89/trm_ref</f>
        <v>23.987729422550021</v>
      </c>
      <c r="H89" t="e">
        <f t="shared" si="5"/>
        <v>#REF!</v>
      </c>
      <c r="I89" t="e">
        <f>+#REF!</f>
        <v>#REF!</v>
      </c>
      <c r="J89" t="e">
        <f>+#REF!</f>
        <v>#REF!</v>
      </c>
      <c r="K89" t="e">
        <f>+#REF!</f>
        <v>#REF!</v>
      </c>
      <c r="L89" t="e">
        <f>+#REF!</f>
        <v>#REF!</v>
      </c>
    </row>
    <row r="90" spans="1:12">
      <c r="A90" s="580" t="s">
        <v>654</v>
      </c>
      <c r="B90" s="585"/>
      <c r="C90" s="113"/>
      <c r="D90" s="128"/>
      <c r="H90" t="e">
        <f t="shared" si="5"/>
        <v>#REF!</v>
      </c>
      <c r="I90" t="e">
        <f>+#REF!</f>
        <v>#REF!</v>
      </c>
      <c r="J90" t="e">
        <f>+#REF!</f>
        <v>#REF!</v>
      </c>
      <c r="K90" t="e">
        <f>+#REF!</f>
        <v>#REF!</v>
      </c>
      <c r="L90" t="e">
        <f>+#REF!</f>
        <v>#REF!</v>
      </c>
    </row>
    <row r="91" spans="1:12" ht="22.5">
      <c r="A91" s="576" t="s">
        <v>656</v>
      </c>
      <c r="B91" s="577" t="s">
        <v>513</v>
      </c>
      <c r="C91" s="578">
        <v>1616354.81635482</v>
      </c>
      <c r="D91" s="575">
        <f>C91/trm_ref</f>
        <v>410.67639345006575</v>
      </c>
      <c r="H91" t="e">
        <f t="shared" si="5"/>
        <v>#REF!</v>
      </c>
      <c r="I91" t="e">
        <f>+#REF!</f>
        <v>#REF!</v>
      </c>
      <c r="J91" t="e">
        <f>+#REF!</f>
        <v>#REF!</v>
      </c>
      <c r="K91" t="e">
        <f>+#REF!</f>
        <v>#REF!</v>
      </c>
      <c r="L91" t="e">
        <f>+#REF!</f>
        <v>#REF!</v>
      </c>
    </row>
    <row r="92" spans="1:12" ht="22.5">
      <c r="A92" s="576" t="s">
        <v>658</v>
      </c>
      <c r="B92" s="577" t="s">
        <v>513</v>
      </c>
      <c r="C92" s="578">
        <v>3933679.8336798302</v>
      </c>
      <c r="D92" s="575">
        <f>C92/trm_ref</f>
        <v>999.45224324326909</v>
      </c>
      <c r="H92" t="e">
        <f t="shared" si="5"/>
        <v>#REF!</v>
      </c>
      <c r="I92" t="e">
        <f>+#REF!</f>
        <v>#REF!</v>
      </c>
      <c r="J92" t="e">
        <f>+#REF!</f>
        <v>#REF!</v>
      </c>
      <c r="K92" t="e">
        <f>+#REF!</f>
        <v>#REF!</v>
      </c>
      <c r="L92" t="e">
        <f>+#REF!</f>
        <v>#REF!</v>
      </c>
    </row>
    <row r="93" spans="1:12" ht="22.5">
      <c r="A93" s="576" t="s">
        <v>660</v>
      </c>
      <c r="B93" s="577" t="s">
        <v>513</v>
      </c>
      <c r="C93" s="578">
        <v>9236313.2363132406</v>
      </c>
      <c r="D93" s="575">
        <f>C93/trm_ref</f>
        <v>2346.7222482860857</v>
      </c>
      <c r="H93" t="e">
        <f t="shared" si="5"/>
        <v>#REF!</v>
      </c>
      <c r="I93" t="e">
        <f>+#REF!</f>
        <v>#REF!</v>
      </c>
      <c r="J93" t="e">
        <f>+#REF!</f>
        <v>#REF!</v>
      </c>
      <c r="K93" t="e">
        <f>+#REF!</f>
        <v>#REF!</v>
      </c>
      <c r="L93" t="e">
        <f>+#REF!</f>
        <v>#REF!</v>
      </c>
    </row>
    <row r="94" spans="1:12" ht="22.5">
      <c r="A94" s="576" t="s">
        <v>662</v>
      </c>
      <c r="B94" s="577" t="s">
        <v>513</v>
      </c>
      <c r="C94" s="578">
        <v>26719334.719334699</v>
      </c>
      <c r="D94" s="575">
        <f>C94/trm_ref</f>
        <v>6788.7322182561684</v>
      </c>
      <c r="H94" t="e">
        <f t="shared" si="5"/>
        <v>#REF!</v>
      </c>
      <c r="I94" t="e">
        <f>+#REF!</f>
        <v>#REF!</v>
      </c>
      <c r="J94" t="e">
        <f>+#REF!</f>
        <v>#REF!</v>
      </c>
      <c r="K94" t="e">
        <f>+#REF!</f>
        <v>#REF!</v>
      </c>
      <c r="L94" t="e">
        <f>+#REF!</f>
        <v>#REF!</v>
      </c>
    </row>
    <row r="95" spans="1:12" ht="22.5">
      <c r="A95" s="580" t="s">
        <v>680</v>
      </c>
      <c r="B95" s="584"/>
      <c r="C95" s="113"/>
      <c r="D95" s="128"/>
      <c r="H95" t="e">
        <f t="shared" si="5"/>
        <v>#REF!</v>
      </c>
      <c r="I95" t="e">
        <f>+#REF!</f>
        <v>#REF!</v>
      </c>
      <c r="J95" t="e">
        <f>+#REF!</f>
        <v>#REF!</v>
      </c>
      <c r="K95" t="e">
        <f>+#REF!</f>
        <v>#REF!</v>
      </c>
      <c r="L95" t="e">
        <f>+#REF!</f>
        <v>#REF!</v>
      </c>
    </row>
    <row r="96" spans="1:12" ht="22.5">
      <c r="A96" s="576" t="s">
        <v>663</v>
      </c>
      <c r="B96" s="577" t="s">
        <v>504</v>
      </c>
      <c r="C96" s="578">
        <v>25500</v>
      </c>
      <c r="D96" s="575">
        <f>C96/trm_ref</f>
        <v>6.478928962264324</v>
      </c>
      <c r="H96" t="e">
        <f t="shared" si="5"/>
        <v>#REF!</v>
      </c>
      <c r="I96" t="e">
        <f>+#REF!</f>
        <v>#REF!</v>
      </c>
      <c r="J96" t="e">
        <f>+#REF!</f>
        <v>#REF!</v>
      </c>
      <c r="K96" t="e">
        <f>+#REF!</f>
        <v>#REF!</v>
      </c>
      <c r="L96" t="e">
        <f>+#REF!</f>
        <v>#REF!</v>
      </c>
    </row>
    <row r="97" spans="1:12" ht="22.5">
      <c r="A97" s="576" t="s">
        <v>666</v>
      </c>
      <c r="B97" s="585" t="s">
        <v>497</v>
      </c>
      <c r="C97" s="578">
        <v>205000</v>
      </c>
      <c r="D97" s="575">
        <f>C97/trm_ref</f>
        <v>52.085507343693585</v>
      </c>
      <c r="H97" t="e">
        <f t="shared" si="5"/>
        <v>#REF!</v>
      </c>
      <c r="I97" t="e">
        <f>+#REF!</f>
        <v>#REF!</v>
      </c>
      <c r="J97" t="e">
        <f>+#REF!</f>
        <v>#REF!</v>
      </c>
      <c r="K97" t="e">
        <f>+#REF!</f>
        <v>#REF!</v>
      </c>
      <c r="L97" t="e">
        <f>+#REF!</f>
        <v>#REF!</v>
      </c>
    </row>
    <row r="98" spans="1:12">
      <c r="A98" s="91" t="s">
        <v>667</v>
      </c>
      <c r="B98" s="92"/>
      <c r="C98" s="93"/>
      <c r="D98" s="127"/>
      <c r="H98" t="e">
        <f t="shared" si="5"/>
        <v>#REF!</v>
      </c>
      <c r="I98" t="e">
        <f>+#REF!</f>
        <v>#REF!</v>
      </c>
      <c r="J98" t="e">
        <f>+#REF!</f>
        <v>#REF!</v>
      </c>
      <c r="K98" t="e">
        <f>+#REF!</f>
        <v>#REF!</v>
      </c>
      <c r="L98" t="e">
        <f>+#REF!</f>
        <v>#REF!</v>
      </c>
    </row>
    <row r="99" spans="1:12">
      <c r="A99" s="576" t="s">
        <v>668</v>
      </c>
      <c r="B99" s="584" t="s">
        <v>513</v>
      </c>
      <c r="C99" s="578">
        <v>358263000</v>
      </c>
      <c r="D99" s="575">
        <f>C99/trm_ref</f>
        <v>91025.903012066803</v>
      </c>
      <c r="H99" t="e">
        <f t="shared" ref="H99:H104" si="7">+I99*trm_ref</f>
        <v>#REF!</v>
      </c>
      <c r="I99" t="e">
        <f>+#REF!</f>
        <v>#REF!</v>
      </c>
      <c r="J99" t="e">
        <f>+#REF!</f>
        <v>#REF!</v>
      </c>
      <c r="K99" t="e">
        <f>+#REF!</f>
        <v>#REF!</v>
      </c>
      <c r="L99" t="e">
        <f>+#REF!</f>
        <v>#REF!</v>
      </c>
    </row>
    <row r="100" spans="1:12">
      <c r="A100" s="576" t="s">
        <v>669</v>
      </c>
      <c r="B100" s="584" t="s">
        <v>513</v>
      </c>
      <c r="C100" s="578">
        <v>75235200</v>
      </c>
      <c r="D100" s="575">
        <f>C100/trm_ref</f>
        <v>19115.432010264663</v>
      </c>
      <c r="H100" t="e">
        <f t="shared" si="7"/>
        <v>#REF!</v>
      </c>
      <c r="I100" t="e">
        <f>+#REF!</f>
        <v>#REF!</v>
      </c>
      <c r="J100" t="e">
        <f>+#REF!</f>
        <v>#REF!</v>
      </c>
      <c r="K100" t="e">
        <f>+#REF!</f>
        <v>#REF!</v>
      </c>
      <c r="L100" t="e">
        <f>+#REF!</f>
        <v>#REF!</v>
      </c>
    </row>
    <row r="101" spans="1:12">
      <c r="A101" s="91" t="s">
        <v>670</v>
      </c>
      <c r="B101" s="92"/>
      <c r="C101" s="93"/>
      <c r="D101" s="127"/>
      <c r="H101" t="e">
        <f t="shared" si="7"/>
        <v>#REF!</v>
      </c>
      <c r="I101" t="e">
        <f>+#REF!</f>
        <v>#REF!</v>
      </c>
      <c r="J101" t="e">
        <f>+#REF!</f>
        <v>#REF!</v>
      </c>
      <c r="K101" t="e">
        <f>+#REF!</f>
        <v>#REF!</v>
      </c>
      <c r="L101" t="e">
        <f>+#REF!</f>
        <v>#REF!</v>
      </c>
    </row>
    <row r="102" spans="1:12">
      <c r="A102" s="576" t="s">
        <v>671</v>
      </c>
      <c r="B102" s="584" t="s">
        <v>497</v>
      </c>
      <c r="C102" s="578"/>
      <c r="D102" s="575"/>
      <c r="H102" t="e">
        <f t="shared" si="7"/>
        <v>#REF!</v>
      </c>
      <c r="I102" t="e">
        <f>+#REF!</f>
        <v>#REF!</v>
      </c>
      <c r="J102" t="e">
        <f>+#REF!</f>
        <v>#REF!</v>
      </c>
      <c r="K102" t="e">
        <f>+#REF!</f>
        <v>#REF!</v>
      </c>
      <c r="L102" t="e">
        <f>+#REF!</f>
        <v>#REF!</v>
      </c>
    </row>
    <row r="103" spans="1:12">
      <c r="A103" s="91" t="s">
        <v>672</v>
      </c>
      <c r="B103" s="92"/>
      <c r="C103" s="93"/>
      <c r="D103" s="127"/>
      <c r="H103" t="e">
        <f t="shared" si="7"/>
        <v>#REF!</v>
      </c>
      <c r="I103" t="e">
        <f>+#REF!</f>
        <v>#REF!</v>
      </c>
      <c r="J103" t="e">
        <f>+#REF!</f>
        <v>#REF!</v>
      </c>
      <c r="K103" t="e">
        <f>+#REF!</f>
        <v>#REF!</v>
      </c>
      <c r="L103" t="e">
        <f>+#REF!</f>
        <v>#REF!</v>
      </c>
    </row>
    <row r="104" spans="1:12">
      <c r="A104" s="576" t="s">
        <v>673</v>
      </c>
      <c r="B104" s="577" t="s">
        <v>513</v>
      </c>
      <c r="C104" s="578">
        <v>1850500</v>
      </c>
      <c r="D104" s="575">
        <f>C104/trm_ref</f>
        <v>470.16698214392676</v>
      </c>
      <c r="H104" t="e">
        <f t="shared" si="7"/>
        <v>#REF!</v>
      </c>
      <c r="I104" t="e">
        <f>+#REF!</f>
        <v>#REF!</v>
      </c>
      <c r="J104" t="e">
        <f>+#REF!</f>
        <v>#REF!</v>
      </c>
      <c r="K104" t="e">
        <f>+#REF!</f>
        <v>#REF!</v>
      </c>
      <c r="L104" t="e">
        <f>+#REF!</f>
        <v>#REF!</v>
      </c>
    </row>
    <row r="105" spans="1:12">
      <c r="A105" s="576" t="s">
        <v>674</v>
      </c>
      <c r="B105" s="577" t="s">
        <v>513</v>
      </c>
      <c r="C105" s="578">
        <v>815900</v>
      </c>
      <c r="D105" s="575">
        <f>C105/trm_ref</f>
        <v>207.30031922790047</v>
      </c>
      <c r="I105">
        <f>D111*Capacidad^D112</f>
        <v>0</v>
      </c>
    </row>
  </sheetData>
  <sheetProtection algorithmName="SHA-512" hashValue="rQlXOT+OVZWS0Q7YElYjHwcs9j5SVElryDyTs+yiLAaN7nwywIN8b0Ppc2JlmzXN8noWErdnIKYY4fWFNExB+A==" saltValue="slEK5hRcNLH0xyVLCmglwQ==" spinCount="100000" sheet="1" objects="1" scenarios="1"/>
  <pageMargins left="0.7" right="0.7" top="0.75" bottom="0.75" header="0.51180555555555496" footer="0.51180555555555496"/>
  <pageSetup firstPageNumber="0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5"/>
  <dimension ref="A1:AMG32"/>
  <sheetViews>
    <sheetView showGridLines="0" showRowColHeaders="0" topLeftCell="A10" zoomScale="140" zoomScaleNormal="140" workbookViewId="0">
      <selection activeCell="B32" sqref="B32"/>
    </sheetView>
  </sheetViews>
  <sheetFormatPr baseColWidth="10" defaultColWidth="9.140625" defaultRowHeight="11.25"/>
  <cols>
    <col min="1" max="1" width="56.85546875" style="590" customWidth="1"/>
    <col min="2" max="2" width="13.42578125" style="612" customWidth="1"/>
    <col min="3" max="3" width="9.28515625" style="613" customWidth="1"/>
    <col min="4" max="4" width="12" style="609" customWidth="1"/>
    <col min="5" max="5" width="15.140625" style="609" customWidth="1"/>
    <col min="6" max="8" width="9.140625" style="590"/>
    <col min="9" max="14" width="9.140625" style="82"/>
    <col min="15" max="1021" width="9.140625" style="590"/>
    <col min="1022" max="16384" width="9.140625" style="82"/>
  </cols>
  <sheetData>
    <row r="1" spans="1:5" ht="22.5">
      <c r="A1" s="586" t="s">
        <v>353</v>
      </c>
      <c r="B1" s="587" t="s">
        <v>681</v>
      </c>
      <c r="C1" s="588" t="s">
        <v>682</v>
      </c>
      <c r="D1" s="589" t="s">
        <v>683</v>
      </c>
      <c r="E1" s="589" t="s">
        <v>684</v>
      </c>
    </row>
    <row r="2" spans="1:5">
      <c r="A2" s="591" t="s">
        <v>685</v>
      </c>
      <c r="B2" s="592"/>
      <c r="C2" s="588"/>
      <c r="D2" s="699"/>
      <c r="E2" s="700"/>
    </row>
    <row r="3" spans="1:5">
      <c r="A3" s="596" t="s">
        <v>685</v>
      </c>
      <c r="B3" s="597" t="s">
        <v>513</v>
      </c>
      <c r="C3" s="701">
        <v>1</v>
      </c>
      <c r="D3" s="599">
        <f>Regresiones!T15*(Capacidad^Regresiones!T14)</f>
        <v>10951189.997614913</v>
      </c>
      <c r="E3" s="599">
        <f>+C3*D3</f>
        <v>10951189.997614913</v>
      </c>
    </row>
    <row r="4" spans="1:5" ht="15" customHeight="1">
      <c r="A4" s="591" t="s">
        <v>686</v>
      </c>
      <c r="B4" s="592"/>
      <c r="C4" s="593"/>
      <c r="D4" s="594"/>
      <c r="E4" s="595"/>
    </row>
    <row r="5" spans="1:5" ht="15" customHeight="1">
      <c r="A5" s="596" t="s">
        <v>686</v>
      </c>
      <c r="B5" s="597" t="s">
        <v>513</v>
      </c>
      <c r="C5" s="598">
        <v>1</v>
      </c>
      <c r="D5" s="599">
        <f>(Regresiones!G15*Capacidad^Regresiones!G14)</f>
        <v>37982268.151940376</v>
      </c>
      <c r="E5" s="599">
        <f>+C5*D5</f>
        <v>37982268.151940376</v>
      </c>
    </row>
    <row r="6" spans="1:5" ht="15" customHeight="1">
      <c r="A6" s="596" t="s">
        <v>687</v>
      </c>
      <c r="B6" s="597" t="s">
        <v>513</v>
      </c>
      <c r="C6" s="600">
        <f>+INT(120/(180*180*0.3048*0.3048*PI()/4)*(Diametro*Diametro*0.3048*0.3048*PI()/4))</f>
        <v>1</v>
      </c>
      <c r="D6" s="601">
        <v>65000</v>
      </c>
      <c r="E6" s="599">
        <f>+C6*D6</f>
        <v>65000</v>
      </c>
    </row>
    <row r="7" spans="1:5" ht="15" customHeight="1">
      <c r="A7" s="591" t="s">
        <v>688</v>
      </c>
      <c r="B7" s="602" t="s">
        <v>513</v>
      </c>
      <c r="C7" s="598">
        <v>1</v>
      </c>
      <c r="D7" s="601">
        <v>78504000</v>
      </c>
      <c r="E7" s="599">
        <f>+C7*D7</f>
        <v>78504000</v>
      </c>
    </row>
    <row r="8" spans="1:5" ht="15" customHeight="1">
      <c r="A8" s="603" t="s">
        <v>689</v>
      </c>
      <c r="B8" s="592"/>
      <c r="C8" s="593"/>
      <c r="D8" s="595"/>
      <c r="E8" s="595"/>
    </row>
    <row r="9" spans="1:5" ht="15" customHeight="1">
      <c r="A9" s="596" t="s">
        <v>690</v>
      </c>
      <c r="B9" s="597" t="s">
        <v>531</v>
      </c>
      <c r="C9" s="600">
        <f>+INT(Diametro*Diametro*0.3048*0.3048*PI()*0.2/4)</f>
        <v>5</v>
      </c>
      <c r="D9" s="601">
        <v>265000</v>
      </c>
      <c r="E9" s="599">
        <f>+C9*D9</f>
        <v>1325000</v>
      </c>
    </row>
    <row r="10" spans="1:5" ht="15" customHeight="1">
      <c r="A10" s="591" t="s">
        <v>691</v>
      </c>
      <c r="B10" s="592"/>
      <c r="C10" s="593"/>
      <c r="D10" s="595"/>
      <c r="E10" s="604"/>
    </row>
    <row r="11" spans="1:5" ht="22.5" customHeight="1">
      <c r="A11" s="605" t="s">
        <v>692</v>
      </c>
      <c r="B11" s="606" t="s">
        <v>32</v>
      </c>
      <c r="C11" s="600">
        <f>Capacidad</f>
        <v>1000</v>
      </c>
      <c r="D11" s="601">
        <v>175</v>
      </c>
      <c r="E11" s="599">
        <f>+C11*D11</f>
        <v>175000</v>
      </c>
    </row>
    <row r="12" spans="1:5" ht="32.25" customHeight="1">
      <c r="A12" s="605" t="s">
        <v>693</v>
      </c>
      <c r="B12" s="597" t="s">
        <v>531</v>
      </c>
      <c r="C12" s="600">
        <f>+INT(Diametro*Diametro*0.3048*0.3048*PI()*0.1/4)</f>
        <v>2</v>
      </c>
      <c r="D12" s="601">
        <v>165000</v>
      </c>
      <c r="E12" s="599">
        <f>+C12*D12</f>
        <v>330000</v>
      </c>
    </row>
    <row r="13" spans="1:5" ht="15" customHeight="1">
      <c r="A13" s="591" t="s">
        <v>694</v>
      </c>
      <c r="B13" s="592"/>
      <c r="C13" s="593"/>
      <c r="D13" s="595"/>
      <c r="E13" s="604"/>
    </row>
    <row r="14" spans="1:5" ht="27" customHeight="1">
      <c r="A14" s="605" t="s">
        <v>695</v>
      </c>
      <c r="B14" s="597" t="s">
        <v>531</v>
      </c>
      <c r="C14" s="600">
        <f>+C12</f>
        <v>2</v>
      </c>
      <c r="D14" s="601">
        <v>213000</v>
      </c>
      <c r="E14" s="599">
        <f t="shared" ref="E14:E22" si="0">+C14*D14</f>
        <v>426000</v>
      </c>
    </row>
    <row r="15" spans="1:5" ht="29.25" customHeight="1">
      <c r="A15" s="605" t="s">
        <v>696</v>
      </c>
      <c r="B15" s="597" t="s">
        <v>531</v>
      </c>
      <c r="C15" s="600">
        <f>+$C12</f>
        <v>2</v>
      </c>
      <c r="D15" s="601">
        <v>265000</v>
      </c>
      <c r="E15" s="599">
        <f t="shared" si="0"/>
        <v>530000</v>
      </c>
    </row>
    <row r="16" spans="1:5" ht="15" customHeight="1">
      <c r="A16" s="605" t="s">
        <v>697</v>
      </c>
      <c r="B16" s="597" t="s">
        <v>497</v>
      </c>
      <c r="C16" s="600">
        <f>+INT((Diametro*Diametro*0.3048*0.3048*PI()/4)*2+(Diametro*PI()*0.3048*Altura*0.3018))</f>
        <v>166</v>
      </c>
      <c r="D16" s="601">
        <v>9500</v>
      </c>
      <c r="E16" s="599">
        <f t="shared" si="0"/>
        <v>1577000</v>
      </c>
    </row>
    <row r="17" spans="1:14" ht="15" customHeight="1">
      <c r="A17" s="605" t="s">
        <v>698</v>
      </c>
      <c r="B17" s="597" t="s">
        <v>513</v>
      </c>
      <c r="C17" s="598">
        <v>1</v>
      </c>
      <c r="D17" s="601">
        <v>39252000</v>
      </c>
      <c r="E17" s="599">
        <f t="shared" si="0"/>
        <v>39252000</v>
      </c>
    </row>
    <row r="18" spans="1:14" ht="15" customHeight="1">
      <c r="A18" s="605" t="s">
        <v>699</v>
      </c>
      <c r="B18" s="597" t="s">
        <v>513</v>
      </c>
      <c r="C18" s="598">
        <v>1</v>
      </c>
      <c r="D18" s="601">
        <v>58878000</v>
      </c>
      <c r="E18" s="599">
        <f t="shared" si="0"/>
        <v>58878000</v>
      </c>
    </row>
    <row r="19" spans="1:14" ht="15" customHeight="1">
      <c r="A19" s="596" t="s">
        <v>700</v>
      </c>
      <c r="B19" s="597" t="s">
        <v>497</v>
      </c>
      <c r="C19" s="600">
        <f>+INT(((Diametro*Diametro*0.3048*0.3048*PI()/4)*2*1.1+(Diametro*PI()*0.3048*Altura*0.3018)*1.1)+IF(TipoTecho="Flotante",(PI()*Diametro)*1.1,0))</f>
        <v>247</v>
      </c>
      <c r="D19" s="601">
        <v>235000</v>
      </c>
      <c r="E19" s="599">
        <f t="shared" si="0"/>
        <v>58045000</v>
      </c>
    </row>
    <row r="20" spans="1:14" ht="15" customHeight="1">
      <c r="A20" s="596" t="s">
        <v>701</v>
      </c>
      <c r="B20" s="597" t="s">
        <v>497</v>
      </c>
      <c r="C20" s="600">
        <f>+INT(((Diametro*Diametro*0.3048*0.3048*PI()/4)*1.1+(Diametro*PI()*0.3048*Altura*0.3018))*1.1)</f>
        <v>157</v>
      </c>
      <c r="D20" s="601">
        <v>225000</v>
      </c>
      <c r="E20" s="599">
        <f t="shared" si="0"/>
        <v>35325000</v>
      </c>
    </row>
    <row r="21" spans="1:14" ht="15" customHeight="1">
      <c r="A21" s="596" t="s">
        <v>702</v>
      </c>
      <c r="B21" s="597" t="s">
        <v>513</v>
      </c>
      <c r="C21" s="598">
        <v>1</v>
      </c>
      <c r="D21" s="601">
        <v>6500000</v>
      </c>
      <c r="E21" s="599">
        <f t="shared" si="0"/>
        <v>6500000</v>
      </c>
    </row>
    <row r="22" spans="1:14" ht="15" customHeight="1">
      <c r="A22" s="605" t="s">
        <v>703</v>
      </c>
      <c r="B22" s="597" t="s">
        <v>513</v>
      </c>
      <c r="C22" s="598">
        <v>1</v>
      </c>
      <c r="D22" s="601">
        <v>25000000</v>
      </c>
      <c r="E22" s="599">
        <f t="shared" si="0"/>
        <v>25000000</v>
      </c>
    </row>
    <row r="23" spans="1:14" ht="15" customHeight="1">
      <c r="A23" s="840" t="s">
        <v>704</v>
      </c>
      <c r="B23" s="840"/>
      <c r="C23" s="840"/>
      <c r="D23" s="640"/>
      <c r="E23" s="607">
        <f>SUM(E3:E22)</f>
        <v>354865458.14955533</v>
      </c>
    </row>
    <row r="24" spans="1:14" ht="15" customHeight="1">
      <c r="A24" s="840" t="s">
        <v>705</v>
      </c>
      <c r="B24" s="840"/>
      <c r="C24" s="840"/>
      <c r="D24" s="640"/>
      <c r="E24" s="607">
        <f>E23/trm_ref</f>
        <v>90162.670373033427</v>
      </c>
    </row>
    <row r="25" spans="1:14" ht="15" customHeight="1">
      <c r="A25" s="837" t="s">
        <v>706</v>
      </c>
      <c r="B25" s="838"/>
      <c r="C25" s="839"/>
      <c r="D25" s="640"/>
      <c r="E25" s="607">
        <f>E24*0.25</f>
        <v>22540.667593258357</v>
      </c>
    </row>
    <row r="26" spans="1:14" ht="15" customHeight="1">
      <c r="A26" s="837" t="s">
        <v>707</v>
      </c>
      <c r="B26" s="838"/>
      <c r="C26" s="839"/>
      <c r="D26" s="640"/>
      <c r="E26" s="607">
        <f>E24+E25</f>
        <v>112703.33796629179</v>
      </c>
      <c r="F26" s="82"/>
    </row>
    <row r="27" spans="1:14" ht="15" customHeight="1">
      <c r="A27" s="837" t="s">
        <v>708</v>
      </c>
      <c r="B27" s="838"/>
      <c r="C27" s="839"/>
      <c r="D27" s="640"/>
      <c r="E27" s="607">
        <f>E26*fac_iva</f>
        <v>21413.63421359544</v>
      </c>
    </row>
    <row r="28" spans="1:14" ht="15" customHeight="1">
      <c r="A28" s="837" t="s">
        <v>709</v>
      </c>
      <c r="B28" s="838"/>
      <c r="C28" s="839"/>
      <c r="D28" s="640"/>
      <c r="E28" s="607">
        <f>E26+E27</f>
        <v>134116.97217988723</v>
      </c>
    </row>
    <row r="29" spans="1:14" s="590" customFormat="1">
      <c r="A29" s="610"/>
      <c r="B29" s="610"/>
      <c r="C29" s="611"/>
      <c r="D29" s="609"/>
      <c r="E29" s="609"/>
      <c r="I29" s="82"/>
      <c r="J29" s="82"/>
      <c r="K29" s="82"/>
      <c r="L29" s="82"/>
      <c r="M29" s="82"/>
      <c r="N29" s="82"/>
    </row>
    <row r="32" spans="1:14">
      <c r="B32" s="608"/>
    </row>
  </sheetData>
  <sheetProtection algorithmName="SHA-512" hashValue="c1I7EwNZRIN0GTTUj0qhXwvPEm0yBgnkwhZpcnqi7zdaAt5EkMSQ8CB77i0jPKzedgSRtkYgTtTzwNAhM5aMsg==" saltValue="t8ShN6Ql9BAd2YubBkc7xg==" spinCount="100000" sheet="1" objects="1" scenarios="1"/>
  <mergeCells count="6">
    <mergeCell ref="A26:C26"/>
    <mergeCell ref="A28:C28"/>
    <mergeCell ref="A23:C23"/>
    <mergeCell ref="A24:C24"/>
    <mergeCell ref="A25:C25"/>
    <mergeCell ref="A27:C27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6"/>
  <dimension ref="A1:AF39"/>
  <sheetViews>
    <sheetView showGridLines="0" showRowColHeaders="0" zoomScale="90" zoomScaleNormal="90" workbookViewId="0">
      <pane xSplit="6" ySplit="2" topLeftCell="G3" activePane="bottomRight" state="frozen"/>
      <selection pane="topRight" activeCell="N22" sqref="N22"/>
      <selection pane="bottomLeft" activeCell="N22" sqref="N22"/>
      <selection pane="bottomRight" activeCell="T36" sqref="T36"/>
    </sheetView>
  </sheetViews>
  <sheetFormatPr baseColWidth="10" defaultColWidth="9.140625" defaultRowHeight="15"/>
  <cols>
    <col min="1" max="1" width="2.28515625" customWidth="1"/>
    <col min="2" max="2" width="2" customWidth="1"/>
    <col min="3" max="4" width="2.140625" customWidth="1"/>
    <col min="5" max="5" width="45" customWidth="1"/>
    <col min="6" max="6" width="11.28515625" style="55" customWidth="1"/>
    <col min="7" max="7" width="13.28515625" bestFit="1" customWidth="1"/>
    <col min="8" max="8" width="10.42578125" customWidth="1"/>
    <col min="9" max="9" width="12.7109375" customWidth="1"/>
    <col min="10" max="10" width="10.42578125" customWidth="1"/>
    <col min="11" max="11" width="12.140625" customWidth="1"/>
    <col min="12" max="13" width="10.42578125" customWidth="1"/>
    <col min="14" max="16" width="12.42578125" customWidth="1"/>
    <col min="17" max="17" width="15" customWidth="1"/>
    <col min="18" max="18" width="13.85546875" customWidth="1"/>
    <col min="19" max="19" width="12.140625" customWidth="1"/>
    <col min="20" max="20" width="16.140625" customWidth="1"/>
    <col min="21" max="21" width="14" customWidth="1"/>
    <col min="22" max="22" width="15.42578125" customWidth="1"/>
    <col min="23" max="24" width="10.42578125" customWidth="1"/>
    <col min="25" max="25" width="13.85546875" customWidth="1"/>
    <col min="26" max="26" width="11.85546875" customWidth="1"/>
    <col min="27" max="27" width="13.42578125" customWidth="1"/>
    <col min="28" max="28" width="10.42578125" customWidth="1"/>
    <col min="29" max="29" width="14.140625" customWidth="1"/>
    <col min="30" max="30" width="13.42578125" customWidth="1"/>
    <col min="31" max="31" width="10.42578125" customWidth="1"/>
    <col min="32" max="32" width="14.28515625" customWidth="1"/>
    <col min="33" max="1025" width="10.42578125" customWidth="1"/>
  </cols>
  <sheetData>
    <row r="1" spans="1:32" ht="15" customHeight="1">
      <c r="A1" s="618"/>
      <c r="B1" s="618"/>
      <c r="C1" s="618"/>
      <c r="D1" s="618"/>
      <c r="E1" s="574"/>
      <c r="F1" s="617"/>
      <c r="G1" s="842" t="s">
        <v>710</v>
      </c>
      <c r="H1" s="842"/>
      <c r="I1" s="842"/>
      <c r="J1" s="842"/>
      <c r="K1" s="842"/>
      <c r="L1" s="841" t="s">
        <v>711</v>
      </c>
      <c r="M1" s="841"/>
      <c r="N1" s="841"/>
      <c r="O1" s="841"/>
      <c r="P1" s="841"/>
      <c r="R1" s="842" t="s">
        <v>712</v>
      </c>
      <c r="S1" s="842"/>
      <c r="T1" s="842"/>
      <c r="U1" s="842"/>
      <c r="V1" s="842"/>
      <c r="W1" s="841" t="s">
        <v>713</v>
      </c>
      <c r="X1" s="841"/>
      <c r="Y1" s="841"/>
      <c r="Z1" s="841"/>
      <c r="AA1" s="841"/>
      <c r="AB1" s="842" t="s">
        <v>714</v>
      </c>
      <c r="AC1" s="842"/>
      <c r="AD1" s="842"/>
      <c r="AE1" s="842"/>
      <c r="AF1" s="842"/>
    </row>
    <row r="2" spans="1:32" ht="33.75" customHeight="1">
      <c r="A2" s="618" t="s">
        <v>467</v>
      </c>
      <c r="B2" s="618" t="s">
        <v>468</v>
      </c>
      <c r="C2" s="618" t="s">
        <v>470</v>
      </c>
      <c r="D2" s="618"/>
      <c r="E2" s="130" t="s">
        <v>715</v>
      </c>
      <c r="F2" s="130" t="s">
        <v>716</v>
      </c>
      <c r="G2" s="131" t="s">
        <v>717</v>
      </c>
      <c r="H2" s="131" t="s">
        <v>718</v>
      </c>
      <c r="I2" s="131" t="s">
        <v>719</v>
      </c>
      <c r="J2" s="131" t="s">
        <v>720</v>
      </c>
      <c r="K2" s="131" t="s">
        <v>721</v>
      </c>
      <c r="L2" s="132" t="s">
        <v>722</v>
      </c>
      <c r="M2" s="132" t="s">
        <v>723</v>
      </c>
      <c r="N2" s="132" t="s">
        <v>724</v>
      </c>
      <c r="O2" s="132" t="s">
        <v>725</v>
      </c>
      <c r="P2" s="132" t="s">
        <v>726</v>
      </c>
      <c r="Q2" s="133" t="s">
        <v>727</v>
      </c>
      <c r="R2" s="131" t="s">
        <v>717</v>
      </c>
      <c r="S2" s="131" t="s">
        <v>718</v>
      </c>
      <c r="T2" s="131" t="s">
        <v>719</v>
      </c>
      <c r="U2" s="131" t="s">
        <v>720</v>
      </c>
      <c r="V2" s="131" t="s">
        <v>721</v>
      </c>
      <c r="W2" s="132" t="s">
        <v>722</v>
      </c>
      <c r="X2" s="132" t="s">
        <v>728</v>
      </c>
      <c r="Y2" s="132" t="s">
        <v>724</v>
      </c>
      <c r="Z2" s="132" t="s">
        <v>725</v>
      </c>
      <c r="AA2" s="132" t="s">
        <v>726</v>
      </c>
      <c r="AB2" s="131" t="s">
        <v>722</v>
      </c>
      <c r="AC2" s="131" t="s">
        <v>728</v>
      </c>
      <c r="AD2" s="131" t="s">
        <v>724</v>
      </c>
      <c r="AE2" s="131" t="s">
        <v>725</v>
      </c>
      <c r="AF2" s="131" t="s">
        <v>726</v>
      </c>
    </row>
    <row r="3" spans="1:32">
      <c r="A3" s="618">
        <v>1</v>
      </c>
      <c r="B3" s="618">
        <v>1</v>
      </c>
      <c r="C3" s="618">
        <v>1</v>
      </c>
      <c r="D3" s="619">
        <f t="shared" ref="D3:D28" si="0">IF(TipoTecho="Geodésico",A3,IF(TipoTecho="Flotante",B3,C3))</f>
        <v>1</v>
      </c>
      <c r="E3" s="134" t="s">
        <v>729</v>
      </c>
      <c r="F3" s="135">
        <f t="shared" ref="F3:F9" si="1">$D3</f>
        <v>1</v>
      </c>
      <c r="G3" s="136">
        <v>0</v>
      </c>
      <c r="H3" s="136">
        <v>0</v>
      </c>
      <c r="I3" s="136">
        <v>0</v>
      </c>
      <c r="J3" s="136">
        <f>180*PI()*0.3048*11.4</f>
        <v>1964.9078685506749</v>
      </c>
      <c r="K3" s="136">
        <v>0</v>
      </c>
      <c r="L3" s="137">
        <f>G3/Diametro_TanqueBase</f>
        <v>0</v>
      </c>
      <c r="M3" s="137">
        <f>H3/Diametro_TanqueBase</f>
        <v>0</v>
      </c>
      <c r="N3" s="137">
        <f>I3/Diametro_TanqueBase</f>
        <v>0</v>
      </c>
      <c r="O3" s="137">
        <f>J3/Diametro_TanqueBase</f>
        <v>11.228044963146713</v>
      </c>
      <c r="P3" s="137">
        <f>K3/Diametro_TanqueBase</f>
        <v>0</v>
      </c>
      <c r="Q3" s="138" t="s">
        <v>730</v>
      </c>
      <c r="R3" s="137">
        <f>L3*Diametro</f>
        <v>0</v>
      </c>
      <c r="S3" s="137">
        <f>M3*Diametro</f>
        <v>0</v>
      </c>
      <c r="T3" s="137">
        <f>N3*Diametro</f>
        <v>0</v>
      </c>
      <c r="U3" s="137">
        <f>O3*Diametro</f>
        <v>211.46151347222218</v>
      </c>
      <c r="V3" s="137">
        <f>P3*Diametro</f>
        <v>0</v>
      </c>
      <c r="W3" s="664">
        <f>SUMIFS('BD Materiales'!$S:$S,'BD Materiales'!$A:$A,'Materiales Tanque Base'!$E3,'BD Materiales'!$B:$B,"Lámina")*$F3</f>
        <v>0</v>
      </c>
      <c r="X3" s="664">
        <f>SUMIFS('BD Materiales'!$S:$S,'BD Materiales'!$A:$A,'Materiales Tanque Base'!$E3,'BD Materiales'!$B:$B,"Tubería")*$F3</f>
        <v>0</v>
      </c>
      <c r="Y3" s="664">
        <f>SUMIFS('BD Materiales'!$S:$S,'BD Materiales'!$A:$A,'Materiales Tanque Base'!$E3,'BD Materiales'!$B:$B,"Accesorio")*$F3</f>
        <v>0</v>
      </c>
      <c r="Z3" s="665">
        <f>J3*8300/trm_ref</f>
        <v>4143.6524522036252</v>
      </c>
      <c r="AA3" s="664">
        <f>SUMIFS('BD Materiales'!$S:$S,'BD Materiales'!$A:$A,'Materiales Tanque Base'!$E3,'BD Materiales'!$B:$B,"Tornillería")*$F3</f>
        <v>0</v>
      </c>
      <c r="AB3" s="139">
        <f t="shared" ref="AB3:AF6" si="2">IFERROR(W3*R3/G3,0)</f>
        <v>0</v>
      </c>
      <c r="AC3" s="139">
        <f t="shared" si="2"/>
        <v>0</v>
      </c>
      <c r="AD3" s="139">
        <f t="shared" si="2"/>
        <v>0</v>
      </c>
      <c r="AE3" s="139">
        <f t="shared" si="2"/>
        <v>445.93593056969615</v>
      </c>
      <c r="AF3" s="139">
        <f t="shared" si="2"/>
        <v>0</v>
      </c>
    </row>
    <row r="4" spans="1:32">
      <c r="A4" s="618">
        <v>1</v>
      </c>
      <c r="B4" s="618">
        <v>1</v>
      </c>
      <c r="C4" s="618">
        <v>1</v>
      </c>
      <c r="D4" s="619">
        <f t="shared" si="0"/>
        <v>1</v>
      </c>
      <c r="E4" s="134" t="s">
        <v>731</v>
      </c>
      <c r="F4" s="135">
        <f t="shared" si="1"/>
        <v>1</v>
      </c>
      <c r="G4" s="140">
        <f>SUMIFS('BD Materiales'!L$3:L$998,'BD Materiales'!$A$3:$A$998,'Materiales Tanque Base'!$E4)*$F4</f>
        <v>100.8949293116415</v>
      </c>
      <c r="H4" s="140">
        <f>SUMIFS('BD Materiales'!M$3:M$998,'BD Materiales'!$A$3:$A$998,'Materiales Tanque Base'!$E4)*$F4</f>
        <v>120.1801</v>
      </c>
      <c r="I4" s="140">
        <f>SUMIFS('BD Materiales'!N$3:N$998,'BD Materiales'!$A$3:$A$998,'Materiales Tanque Base'!$E4)*$F4</f>
        <v>0.44</v>
      </c>
      <c r="J4" s="140">
        <f>SUMIFS('BD Materiales'!O$3:O$998,'BD Materiales'!$A$3:$A$998,'Materiales Tanque Base'!$E4)*$F4</f>
        <v>1239.9164930157499</v>
      </c>
      <c r="K4" s="140">
        <f>SUMIFS('BD Materiales'!P$3:P$998,'BD Materiales'!$A$3:$A$998,'Materiales Tanque Base'!$E4)*$F4</f>
        <v>46.581168000000005</v>
      </c>
      <c r="L4" s="137">
        <f>+G4/Altura_TanqueBase</f>
        <v>2.1019776939925312</v>
      </c>
      <c r="M4" s="137">
        <f>+H4/Altura_TanqueBase</f>
        <v>2.5037520833333331</v>
      </c>
      <c r="N4" s="137">
        <f>+I4/Altura_TanqueBase</f>
        <v>9.1666666666666667E-3</v>
      </c>
      <c r="O4" s="137">
        <f>+J4/Altura_TanqueBase</f>
        <v>25.831593604494788</v>
      </c>
      <c r="P4" s="137">
        <f>+K4/Altura_TanqueBase</f>
        <v>0.97044100000000011</v>
      </c>
      <c r="Q4" s="138" t="s">
        <v>732</v>
      </c>
      <c r="R4" s="141">
        <f>L4*Altura</f>
        <v>44.141531573843153</v>
      </c>
      <c r="S4" s="141">
        <f>M4*Altura</f>
        <v>52.578793749999996</v>
      </c>
      <c r="T4" s="141">
        <f>N4*Altura</f>
        <v>0.1925</v>
      </c>
      <c r="U4" s="141">
        <f>O4*Altura</f>
        <v>542.46346569439061</v>
      </c>
      <c r="V4" s="141">
        <f>P4*Altura</f>
        <v>20.379261000000003</v>
      </c>
      <c r="W4" s="137">
        <f>SUMIFS('BD Materiales'!$S:$S,'BD Materiales'!$A:$A,'Materiales Tanque Base'!$E4,'BD Materiales'!$B:$B,"Lámina")*$F4</f>
        <v>205.88068381262016</v>
      </c>
      <c r="X4" s="137">
        <f>SUMIFS('BD Materiales'!$S:$S,'BD Materiales'!$A:$A,'Materiales Tanque Base'!$E4,'BD Materiales'!$B:$B,"Tubería")*$F4</f>
        <v>467.52142947976836</v>
      </c>
      <c r="Y4" s="137">
        <f>SUMIFS('BD Materiales'!$S:$S,'BD Materiales'!$A:$A,'Materiales Tanque Base'!$E4,'BD Materiales'!$B:$B,"Accesorio")*$F4</f>
        <v>97.578941076480461</v>
      </c>
      <c r="Z4" s="137">
        <f>SUMIFS('BD Materiales'!$S:$S,'BD Materiales'!$A:$A,'Materiales Tanque Base'!$E4,'BD Materiales'!$B:$B,"Perfil")*$F4</f>
        <v>2713.7426134580137</v>
      </c>
      <c r="AA4" s="137">
        <f>SUMIFS('BD Materiales'!$S:$S,'BD Materiales'!$A:$A,'Materiales Tanque Base'!$E4,'BD Materiales'!$B:$B,"Tornillería")*$F4</f>
        <v>149.6814725801365</v>
      </c>
      <c r="AB4" s="139">
        <f t="shared" si="2"/>
        <v>90.072799168021319</v>
      </c>
      <c r="AC4" s="139">
        <f t="shared" si="2"/>
        <v>204.54062539739866</v>
      </c>
      <c r="AD4" s="139">
        <f t="shared" si="2"/>
        <v>42.690786720960197</v>
      </c>
      <c r="AE4" s="139">
        <f t="shared" si="2"/>
        <v>1187.262393387881</v>
      </c>
      <c r="AF4" s="139">
        <f t="shared" si="2"/>
        <v>65.485644253809724</v>
      </c>
    </row>
    <row r="5" spans="1:32">
      <c r="A5" s="618">
        <v>0</v>
      </c>
      <c r="B5" s="618">
        <v>1</v>
      </c>
      <c r="C5" s="618">
        <v>0</v>
      </c>
      <c r="D5" s="619">
        <f t="shared" si="0"/>
        <v>1</v>
      </c>
      <c r="E5" s="134" t="s">
        <v>733</v>
      </c>
      <c r="F5" s="135">
        <f t="shared" si="1"/>
        <v>1</v>
      </c>
      <c r="G5" s="140">
        <f>SUMIFS('BD Materiales'!L$3:L$998,'BD Materiales'!$A$3:$A$998,'Materiales Tanque Base'!$E5)*$F5</f>
        <v>86.833263199585488</v>
      </c>
      <c r="H5" s="140">
        <f>SUMIFS('BD Materiales'!M$3:M$998,'BD Materiales'!$A$3:$A$998,'Materiales Tanque Base'!$E5)*$F5</f>
        <v>72.782550000000001</v>
      </c>
      <c r="I5" s="140">
        <f>SUMIFS('BD Materiales'!N$3:N$998,'BD Materiales'!$A$3:$A$998,'Materiales Tanque Base'!$E5)*$F5</f>
        <v>0.4</v>
      </c>
      <c r="J5" s="140">
        <f>SUMIFS('BD Materiales'!O$3:O$998,'BD Materiales'!$A$3:$A$998,'Materiales Tanque Base'!$E5)*$F5</f>
        <v>1495.0835727920835</v>
      </c>
      <c r="K5" s="140">
        <f>SUMIFS('BD Materiales'!P$3:P$998,'BD Materiales'!$A$3:$A$998,'Materiales Tanque Base'!$E5)*$F5</f>
        <v>55.52</v>
      </c>
      <c r="L5" s="137">
        <f>G5/1</f>
        <v>86.833263199585488</v>
      </c>
      <c r="M5" s="137">
        <f>H5/1</f>
        <v>72.782550000000001</v>
      </c>
      <c r="N5" s="137">
        <f>I5/1</f>
        <v>0.4</v>
      </c>
      <c r="O5" s="137">
        <f>J5/1</f>
        <v>1495.0835727920835</v>
      </c>
      <c r="P5" s="137">
        <f>K5/1</f>
        <v>55.52</v>
      </c>
      <c r="Q5" s="138">
        <v>1</v>
      </c>
      <c r="R5" s="142">
        <f>L5</f>
        <v>86.833263199585488</v>
      </c>
      <c r="S5" s="142">
        <f>M5</f>
        <v>72.782550000000001</v>
      </c>
      <c r="T5" s="142">
        <f>N5</f>
        <v>0.4</v>
      </c>
      <c r="U5" s="142">
        <f>O5</f>
        <v>1495.0835727920835</v>
      </c>
      <c r="V5" s="142">
        <f>P5</f>
        <v>55.52</v>
      </c>
      <c r="W5" s="137">
        <f>SUMIFS('BD Materiales'!$S:$S,'BD Materiales'!$A:$A,'Materiales Tanque Base'!$E5,'BD Materiales'!$B:$B,"Lámina")*$F5</f>
        <v>177.18721572214</v>
      </c>
      <c r="X5" s="137">
        <f>SUMIFS('BD Materiales'!$S:$S,'BD Materiales'!$A:$A,'Materiales Tanque Base'!$E5,'BD Materiales'!$B:$B,"Tubería")*$F5</f>
        <v>283.13674075144479</v>
      </c>
      <c r="Y5" s="137">
        <f>SUMIFS('BD Materiales'!$S:$S,'BD Materiales'!$A:$A,'Materiales Tanque Base'!$E5,'BD Materiales'!$B:$B,"Accesorio")*$F5</f>
        <v>2.2280609563846561</v>
      </c>
      <c r="Z5" s="137">
        <f>SUMIFS('BD Materiales'!$S:$S,'BD Materiales'!$A:$A,'Materiales Tanque Base'!$E5,'BD Materiales'!$B:$B,"Perfil")*$F5</f>
        <v>3272.2139152280774</v>
      </c>
      <c r="AA5" s="137">
        <f>SUMIFS('BD Materiales'!$S:$S,'BD Materiales'!$A:$A,'Materiales Tanque Base'!$E5,'BD Materiales'!$B:$B,"Tornillería")*$F5</f>
        <v>177.09343142406709</v>
      </c>
      <c r="AB5" s="139">
        <f t="shared" si="2"/>
        <v>177.18721572214</v>
      </c>
      <c r="AC5" s="139">
        <f t="shared" si="2"/>
        <v>283.13674075144479</v>
      </c>
      <c r="AD5" s="139">
        <f t="shared" si="2"/>
        <v>2.2280609563846561</v>
      </c>
      <c r="AE5" s="139">
        <f t="shared" si="2"/>
        <v>3272.2139152280774</v>
      </c>
      <c r="AF5" s="139">
        <f t="shared" si="2"/>
        <v>177.09343142406709</v>
      </c>
    </row>
    <row r="6" spans="1:32">
      <c r="A6" s="618">
        <v>1</v>
      </c>
      <c r="B6" s="618">
        <v>1</v>
      </c>
      <c r="C6" s="618">
        <v>0</v>
      </c>
      <c r="D6" s="619">
        <f t="shared" si="0"/>
        <v>1</v>
      </c>
      <c r="E6" s="134" t="s">
        <v>734</v>
      </c>
      <c r="F6" s="135">
        <f t="shared" si="1"/>
        <v>1</v>
      </c>
      <c r="G6" s="140">
        <f>SUMIFS('BD Materiales'!L$3:L$998,'BD Materiales'!$A$3:$A$998,'Materiales Tanque Base'!$E6)*$F6</f>
        <v>2163.9159872964665</v>
      </c>
      <c r="H6" s="140">
        <f>SUMIFS('BD Materiales'!M$3:M$998,'BD Materiales'!$A$3:$A$998,'Materiales Tanque Base'!$E6)*$F6</f>
        <v>770.99850000000004</v>
      </c>
      <c r="I6" s="140">
        <f>SUMIFS('BD Materiales'!N$3:N$998,'BD Materiales'!$A$3:$A$998,'Materiales Tanque Base'!$E6)*$F6</f>
        <v>0</v>
      </c>
      <c r="J6" s="140">
        <f>SUMIFS('BD Materiales'!O$3:O$998,'BD Materiales'!$A$3:$A$998,'Materiales Tanque Base'!$E6)*$F6</f>
        <v>3185.8445920077497</v>
      </c>
      <c r="K6" s="140">
        <f>SUMIFS('BD Materiales'!P$3:P$998,'BD Materiales'!$A$3:$A$998,'Materiales Tanque Base'!$E6)*$F6</f>
        <v>0</v>
      </c>
      <c r="L6" s="137">
        <f>G6/Diametro_TanqueBase</f>
        <v>12.365234213122665</v>
      </c>
      <c r="M6" s="137">
        <f>H6/Diametro_TanqueBase</f>
        <v>4.4057057142857143</v>
      </c>
      <c r="N6" s="137">
        <f>I6/Diametro_TanqueBase</f>
        <v>0</v>
      </c>
      <c r="O6" s="137">
        <f>J6/Diametro_TanqueBase</f>
        <v>18.204826240044284</v>
      </c>
      <c r="P6" s="137">
        <f>K6/Diametro_TanqueBase</f>
        <v>0</v>
      </c>
      <c r="Q6" s="138" t="s">
        <v>730</v>
      </c>
      <c r="R6" s="137">
        <f>L6*Diametro</f>
        <v>232.87857768006469</v>
      </c>
      <c r="S6" s="137">
        <f>M6*Diametro</f>
        <v>82.974124285567427</v>
      </c>
      <c r="T6" s="137">
        <f>N6*Diametro</f>
        <v>0</v>
      </c>
      <c r="U6" s="137">
        <f>O6*Diametro</f>
        <v>342.85756085356053</v>
      </c>
      <c r="V6" s="137">
        <f>P6*Diametro</f>
        <v>0</v>
      </c>
      <c r="W6" s="137">
        <f>SUMIFS('BD Materiales'!$S:$S,'BD Materiales'!$A:$A,'Materiales Tanque Base'!$E6,'BD Materiales'!$B:$B,"Lámina")*$F6</f>
        <v>4415.568812200494</v>
      </c>
      <c r="X6" s="137">
        <f>SUMIFS('BD Materiales'!$S:$S,'BD Materiales'!$A:$A,'Materiales Tanque Base'!$E6,'BD Materiales'!$B:$B,"Tubería")*$F6</f>
        <v>2999.3178641618465</v>
      </c>
      <c r="Y6" s="137">
        <f>SUMIFS('BD Materiales'!$S:$S,'BD Materiales'!$A:$A,'Materiales Tanque Base'!$E6,'BD Materiales'!$B:$B,"Accesorio")*$F6</f>
        <v>0</v>
      </c>
      <c r="Z6" s="137">
        <f>SUMIFS('BD Materiales'!$S:$S,'BD Materiales'!$A:$A,'Materiales Tanque Base'!$E6,'BD Materiales'!$B:$B,"Perfil")*$F6</f>
        <v>6972.6971758866448</v>
      </c>
      <c r="AA6" s="137">
        <f>SUMIFS('BD Materiales'!$S:$S,'BD Materiales'!$A:$A,'Materiales Tanque Base'!$E6,'BD Materiales'!$B:$B,"Tornillería")*$F6</f>
        <v>0</v>
      </c>
      <c r="AB6" s="139">
        <f t="shared" si="2"/>
        <v>475.19931026454543</v>
      </c>
      <c r="AC6" s="139">
        <f t="shared" si="2"/>
        <v>322.78373204732264</v>
      </c>
      <c r="AD6" s="139">
        <f t="shared" si="2"/>
        <v>0</v>
      </c>
      <c r="AE6" s="139">
        <f t="shared" si="2"/>
        <v>750.39502940361547</v>
      </c>
      <c r="AF6" s="139">
        <f t="shared" si="2"/>
        <v>0</v>
      </c>
    </row>
    <row r="7" spans="1:32">
      <c r="A7" s="618">
        <v>0</v>
      </c>
      <c r="B7" s="618">
        <v>1</v>
      </c>
      <c r="C7" s="618">
        <v>0</v>
      </c>
      <c r="D7" s="619">
        <f t="shared" si="0"/>
        <v>1</v>
      </c>
      <c r="E7" s="143" t="s">
        <v>735</v>
      </c>
      <c r="F7" s="135">
        <f t="shared" si="1"/>
        <v>1</v>
      </c>
      <c r="G7" s="140">
        <f>SUMIFS('BD Materiales'!L$3:L$998,'BD Materiales'!$A$3:$A$998,'Materiales Tanque Base'!$E7)*$F7</f>
        <v>37558.457325515759</v>
      </c>
      <c r="H7" s="140">
        <f>SUMIFS('BD Materiales'!M$3:M$998,'BD Materiales'!$A$3:$A$998,'Materiales Tanque Base'!$E7)*$F7</f>
        <v>0</v>
      </c>
      <c r="I7" s="140">
        <f>SUMIFS('BD Materiales'!N$3:N$998,'BD Materiales'!$A$3:$A$998,'Materiales Tanque Base'!$E7)*$F7</f>
        <v>0</v>
      </c>
      <c r="J7" s="140">
        <f>SUMIFS('BD Materiales'!O$3:O$998,'BD Materiales'!$A$3:$A$998,'Materiales Tanque Base'!$E7)*$F7</f>
        <v>0</v>
      </c>
      <c r="K7" s="140">
        <f>SUMIFS('BD Materiales'!P$3:P$998,'BD Materiales'!$A$3:$A$998,'Materiales Tanque Base'!$E7)*$F7</f>
        <v>0</v>
      </c>
      <c r="Q7" s="144"/>
      <c r="W7" s="137">
        <f>SUMIFS('BD Materiales'!$S:$S,'BD Materiales'!$A:$A,'Materiales Tanque Base'!$E7,'BD Materiales'!$B:$B,"Lámina")*$F7</f>
        <v>76639.737297799933</v>
      </c>
      <c r="X7" s="137">
        <f>SUMIFS('BD Materiales'!$S:$S,'BD Materiales'!$A:$A,'Materiales Tanque Base'!$E7,'BD Materiales'!$B:$B,"Tubería")*$F7</f>
        <v>0</v>
      </c>
      <c r="Y7" s="137">
        <f>SUMIFS('BD Materiales'!$S:$S,'BD Materiales'!$A:$A,'Materiales Tanque Base'!$E7,'BD Materiales'!$B:$B,"Accesorio")*$F7</f>
        <v>0</v>
      </c>
      <c r="Z7" s="137">
        <f>SUMIFS('BD Materiales'!$S:$S,'BD Materiales'!$A:$A,'Materiales Tanque Base'!$E7,'BD Materiales'!$B:$B,"Perfil")*$F7</f>
        <v>0</v>
      </c>
      <c r="AA7" s="137">
        <f>SUMIFS('BD Materiales'!$S:$S,'BD Materiales'!$A:$A,'Materiales Tanque Base'!$E7,'BD Materiales'!$B:$B,"Tornillería")*$F7</f>
        <v>0</v>
      </c>
    </row>
    <row r="8" spans="1:32">
      <c r="A8" s="618">
        <v>0</v>
      </c>
      <c r="B8" s="618">
        <v>1</v>
      </c>
      <c r="C8" s="618">
        <v>0</v>
      </c>
      <c r="D8" s="619">
        <f t="shared" si="0"/>
        <v>1</v>
      </c>
      <c r="E8" s="143" t="s">
        <v>736</v>
      </c>
      <c r="F8" s="135">
        <f t="shared" si="1"/>
        <v>1</v>
      </c>
      <c r="G8" s="140">
        <f>SUMIFS('BD Materiales'!L$3:L$998,'BD Materiales'!$A$3:$A$998,'Materiales Tanque Base'!$E8)*$F8</f>
        <v>37491.036271712976</v>
      </c>
      <c r="H8" s="140">
        <f>SUMIFS('BD Materiales'!M$3:M$998,'BD Materiales'!$A$3:$A$998,'Materiales Tanque Base'!$E8)*$F8</f>
        <v>0</v>
      </c>
      <c r="I8" s="140">
        <f>SUMIFS('BD Materiales'!N$3:N$998,'BD Materiales'!$A$3:$A$998,'Materiales Tanque Base'!$E8)*$F8</f>
        <v>0</v>
      </c>
      <c r="J8" s="140">
        <f>SUMIFS('BD Materiales'!O$3:O$998,'BD Materiales'!$A$3:$A$998,'Materiales Tanque Base'!$E8)*$F8</f>
        <v>0</v>
      </c>
      <c r="K8" s="140">
        <f>SUMIFS('BD Materiales'!P$3:P$998,'BD Materiales'!$A$3:$A$998,'Materiales Tanque Base'!$E8)*$F8</f>
        <v>0</v>
      </c>
      <c r="L8" s="145"/>
      <c r="Q8" s="144"/>
      <c r="W8" s="137">
        <f>SUMIFS('BD Materiales'!$S:$S,'BD Materiales'!$A:$A,'Materiales Tanque Base'!$E8,'BD Materiales'!$B:$B,"Lámina")*$F8</f>
        <v>76502.161576651342</v>
      </c>
      <c r="X8" s="137">
        <f>SUMIFS('BD Materiales'!$S:$S,'BD Materiales'!$A:$A,'Materiales Tanque Base'!$E8,'BD Materiales'!$B:$B,"Tubería")*$F8</f>
        <v>0</v>
      </c>
      <c r="Y8" s="137">
        <f>SUMIFS('BD Materiales'!$S:$S,'BD Materiales'!$A:$A,'Materiales Tanque Base'!$E8,'BD Materiales'!$B:$B,"Accesorio")*$F8</f>
        <v>0</v>
      </c>
      <c r="Z8" s="137">
        <f>SUMIFS('BD Materiales'!$S:$S,'BD Materiales'!$A:$A,'Materiales Tanque Base'!$E8,'BD Materiales'!$B:$B,"Perfil")*$F8</f>
        <v>0</v>
      </c>
      <c r="AA8" s="137">
        <f>SUMIFS('BD Materiales'!$S:$S,'BD Materiales'!$A:$A,'Materiales Tanque Base'!$E8,'BD Materiales'!$B:$B,"Tornillería")*$F8</f>
        <v>0</v>
      </c>
    </row>
    <row r="9" spans="1:32">
      <c r="A9" s="618">
        <v>0</v>
      </c>
      <c r="B9" s="618">
        <v>1</v>
      </c>
      <c r="C9" s="618">
        <v>0</v>
      </c>
      <c r="D9" s="619">
        <f t="shared" si="0"/>
        <v>1</v>
      </c>
      <c r="E9" s="143" t="s">
        <v>737</v>
      </c>
      <c r="F9" s="135">
        <f t="shared" si="1"/>
        <v>1</v>
      </c>
      <c r="G9" s="140">
        <f>SUMIFS('BD Materiales'!L$3:L$998,'BD Materiales'!$A$3:$A$998,'Materiales Tanque Base'!$E9)*$F9</f>
        <v>37218.974012645034</v>
      </c>
      <c r="H9" s="140">
        <f>SUMIFS('BD Materiales'!M$3:M$998,'BD Materiales'!$A$3:$A$998,'Materiales Tanque Base'!$E9)*$F9</f>
        <v>0</v>
      </c>
      <c r="I9" s="140">
        <f>SUMIFS('BD Materiales'!N$3:N$998,'BD Materiales'!$A$3:$A$998,'Materiales Tanque Base'!$E9)*$F9</f>
        <v>0</v>
      </c>
      <c r="J9" s="140">
        <f>SUMIFS('BD Materiales'!O$3:O$998,'BD Materiales'!$A$3:$A$998,'Materiales Tanque Base'!$E9)*$F9</f>
        <v>14264.184278292232</v>
      </c>
      <c r="K9" s="140">
        <f>SUMIFS('BD Materiales'!P$3:P$998,'BD Materiales'!$A$3:$A$998,'Materiales Tanque Base'!$E9)*$F9</f>
        <v>146.4</v>
      </c>
      <c r="L9" s="145"/>
      <c r="Q9" s="144"/>
      <c r="W9" s="137">
        <f>SUMIFS('BD Materiales'!$S:$S,'BD Materiales'!$A:$A,'Materiales Tanque Base'!$E9,'BD Materiales'!$B:$B,"Lámina")*$F9</f>
        <v>75947.006185605802</v>
      </c>
      <c r="X9" s="137">
        <f>SUMIFS('BD Materiales'!$S:$S,'BD Materiales'!$A:$A,'Materiales Tanque Base'!$E9,'BD Materiales'!$B:$B,"Tubería")*$F9</f>
        <v>0</v>
      </c>
      <c r="Y9" s="137">
        <f>SUMIFS('BD Materiales'!$S:$S,'BD Materiales'!$A:$A,'Materiales Tanque Base'!$E9,'BD Materiales'!$B:$B,"Accesorio")*$F9</f>
        <v>0</v>
      </c>
      <c r="Z9" s="137">
        <f>SUMIFS('BD Materiales'!$S:$S,'BD Materiales'!$A:$A,'Materiales Tanque Base'!$E9,'BD Materiales'!$B:$B,"Perfil")*$F9</f>
        <v>31219.299799835615</v>
      </c>
      <c r="AA9" s="137">
        <f>SUMIFS('BD Materiales'!$S:$S,'BD Materiales'!$A:$A,'Materiales Tanque Base'!$E9,'BD Materiales'!$B:$B,"Tornillería")*$F9</f>
        <v>320.41828691539683</v>
      </c>
    </row>
    <row r="10" spans="1:32">
      <c r="A10" s="618">
        <v>0</v>
      </c>
      <c r="B10" s="618">
        <v>1</v>
      </c>
      <c r="C10" s="618">
        <v>0</v>
      </c>
      <c r="D10" s="619">
        <f t="shared" si="0"/>
        <v>1</v>
      </c>
      <c r="E10" s="143" t="s">
        <v>738</v>
      </c>
      <c r="F10" s="135">
        <f>58*$D10</f>
        <v>58</v>
      </c>
      <c r="G10" s="140">
        <f>SUMIFS('BD Materiales'!L$3:L$998,'BD Materiales'!$A$3:$A$998,'Materiales Tanque Base'!$E10)*$F10</f>
        <v>729.82179807886519</v>
      </c>
      <c r="H10" s="140">
        <f>SUMIFS('BD Materiales'!M$3:M$998,'BD Materiales'!$A$3:$A$998,'Materiales Tanque Base'!$E10)*$F10</f>
        <v>7.83</v>
      </c>
      <c r="I10" s="140">
        <f>SUMIFS('BD Materiales'!N$3:N$998,'BD Materiales'!$A$3:$A$998,'Materiales Tanque Base'!$E10)*$F10</f>
        <v>8.9320000000000004</v>
      </c>
      <c r="J10" s="140">
        <f>SUMIFS('BD Materiales'!O$3:O$998,'BD Materiales'!$A$3:$A$998,'Materiales Tanque Base'!$E10)*$F10</f>
        <v>169.773319726875</v>
      </c>
      <c r="K10" s="140">
        <f>SUMIFS('BD Materiales'!P$3:P$998,'BD Materiales'!$A$3:$A$998,'Materiales Tanque Base'!$E10)*$F10</f>
        <v>13.63</v>
      </c>
      <c r="L10" s="145"/>
      <c r="Q10" s="144"/>
      <c r="W10" s="137">
        <f>SUMIFS('BD Materiales'!$S:$S,'BD Materiales'!$A:$A,'Materiales Tanque Base'!$E10,'BD Materiales'!$B:$B,"Lámina")*$F10</f>
        <v>1489.2345123284192</v>
      </c>
      <c r="X10" s="137">
        <f>SUMIFS('BD Materiales'!$S:$S,'BD Materiales'!$A:$A,'Materiales Tanque Base'!$E10,'BD Materiales'!$B:$B,"Tubería")*$F10</f>
        <v>30.460057803468175</v>
      </c>
      <c r="Y10" s="137">
        <f>SUMIFS('BD Materiales'!$S:$S,'BD Materiales'!$A:$A,'Materiales Tanque Base'!$E10,'BD Materiales'!$B:$B,"Accesorio")*$F10</f>
        <v>49.752601156069375</v>
      </c>
      <c r="Z10" s="137">
        <f>SUMIFS('BD Materiales'!$S:$S,'BD Materiales'!$A:$A,'Materiales Tanque Base'!$E10,'BD Materiales'!$B:$B,"Perfil")*$F10</f>
        <v>371.57429146738548</v>
      </c>
      <c r="AA10" s="137">
        <f>SUMIFS('BD Materiales'!$S:$S,'BD Materiales'!$A:$A,'Materiales Tanque Base'!$E10,'BD Materiales'!$B:$B,"Tornillería")*$F10</f>
        <v>45.428507619548057</v>
      </c>
    </row>
    <row r="11" spans="1:32">
      <c r="A11" s="618">
        <v>0</v>
      </c>
      <c r="B11" s="618">
        <v>1</v>
      </c>
      <c r="C11" s="618">
        <v>0</v>
      </c>
      <c r="D11" s="619">
        <f t="shared" si="0"/>
        <v>1</v>
      </c>
      <c r="E11" s="146" t="s">
        <v>739</v>
      </c>
      <c r="F11" s="135">
        <f>$D11</f>
        <v>1</v>
      </c>
      <c r="G11" s="136">
        <f>SUM(G7:G10)</f>
        <v>112998.28940795263</v>
      </c>
      <c r="H11" s="136">
        <f>SUM(H7:H10)</f>
        <v>7.83</v>
      </c>
      <c r="I11" s="136">
        <f>SUM(I7:I10)</f>
        <v>8.9320000000000004</v>
      </c>
      <c r="J11" s="136">
        <f>SUM(J7:J10)</f>
        <v>14433.957598019108</v>
      </c>
      <c r="K11" s="136">
        <f>SUM(K7:K10)</f>
        <v>160.03</v>
      </c>
      <c r="L11" s="137">
        <f>G11/((180*180*0.3048*0.3048*3.1416)/4)</f>
        <v>47.79759407130129</v>
      </c>
      <c r="M11" s="137">
        <f>H11/((180*180*0.3048*0.3048*3.1416)/4)</f>
        <v>3.3120427179842747E-3</v>
      </c>
      <c r="N11" s="137">
        <f>I11/((180*180*0.3048*0.3048*3.1416)/4)</f>
        <v>3.7781820634783581E-3</v>
      </c>
      <c r="O11" s="137">
        <f>J11/((180*180*0.3048*0.3048*3.1416)/4)</f>
        <v>6.1054769034754761</v>
      </c>
      <c r="P11" s="137">
        <f>K11/((180*180*0.3048*0.3048*3.1416)/4)</f>
        <v>6.7691723647384863E-2</v>
      </c>
      <c r="Q11" s="138" t="s">
        <v>740</v>
      </c>
      <c r="R11" s="141">
        <f>L11*fac_area_techof</f>
        <v>1237.0299926124533</v>
      </c>
      <c r="S11" s="141">
        <f>M11*fac_area_techof</f>
        <v>8.5717623628679712E-2</v>
      </c>
      <c r="T11" s="141">
        <f>N11*fac_area_techof</f>
        <v>9.778158547271612E-2</v>
      </c>
      <c r="U11" s="141">
        <f>O11*fac_area_techof</f>
        <v>158.01335183388554</v>
      </c>
      <c r="V11" s="141">
        <f>P11*fac_area_techof</f>
        <v>1.7519018274965024</v>
      </c>
      <c r="W11" s="147">
        <f>SUM(W7:W10)</f>
        <v>230578.13957238552</v>
      </c>
      <c r="X11" s="147">
        <f>SUM(X7:X10)</f>
        <v>30.460057803468175</v>
      </c>
      <c r="Y11" s="147">
        <f>SUM(Y7:Y10)</f>
        <v>49.752601156069375</v>
      </c>
      <c r="Z11" s="147">
        <f>SUM(Z7:Z10)</f>
        <v>31590.874091303001</v>
      </c>
      <c r="AA11" s="147">
        <f>SUM(AA7:AA10)</f>
        <v>365.84679453494488</v>
      </c>
      <c r="AB11" s="139">
        <f t="shared" ref="AB11:AB28" si="3">IFERROR(W11*R11/G11,0)</f>
        <v>2524.2158601362612</v>
      </c>
      <c r="AC11" s="139">
        <f t="shared" ref="AC11:AC28" si="4">IFERROR(X11*S11/H11,0)</f>
        <v>0.33345642024336059</v>
      </c>
      <c r="AD11" s="139">
        <f t="shared" ref="AD11:AD28" si="5">IFERROR(Y11*T11/I11,0)</f>
        <v>0.54465833211286974</v>
      </c>
      <c r="AE11" s="139">
        <f t="shared" ref="AE11:AE28" si="6">IFERROR(Z11*U11/J11,0)</f>
        <v>345.83584360910857</v>
      </c>
      <c r="AF11" s="139">
        <f t="shared" ref="AF11:AF28" si="7">IFERROR(AA11*V11/K11,0)</f>
        <v>4.0050469782509994</v>
      </c>
    </row>
    <row r="12" spans="1:32">
      <c r="A12" s="618">
        <v>0</v>
      </c>
      <c r="B12" s="618">
        <v>1</v>
      </c>
      <c r="C12" s="618">
        <v>0</v>
      </c>
      <c r="D12" s="619">
        <f t="shared" si="0"/>
        <v>1</v>
      </c>
      <c r="E12" s="134" t="s">
        <v>741</v>
      </c>
      <c r="F12" s="135">
        <f>$D12</f>
        <v>1</v>
      </c>
      <c r="G12" s="140">
        <f>SUMIFS('BD Materiales'!L$3:L$998,'BD Materiales'!$A$3:$A$998,'Materiales Tanque Base'!$E12)*$F12</f>
        <v>278.56396988222656</v>
      </c>
      <c r="H12" s="140">
        <f>SUMIFS('BD Materiales'!M$3:M$998,'BD Materiales'!$A$3:$A$998,'Materiales Tanque Base'!$E12)*$F12</f>
        <v>11.070400000000001</v>
      </c>
      <c r="I12" s="140">
        <f>SUMIFS('BD Materiales'!N$3:N$998,'BD Materiales'!$A$3:$A$998,'Materiales Tanque Base'!$E12)*$F12</f>
        <v>0</v>
      </c>
      <c r="J12" s="140">
        <f>SUMIFS('BD Materiales'!O$3:O$998,'BD Materiales'!$A$3:$A$998,'Materiales Tanque Base'!$E12)*$F12</f>
        <v>4231.7806710042496</v>
      </c>
      <c r="K12" s="140">
        <f>SUMIFS('BD Materiales'!P$3:P$998,'BD Materiales'!$A$3:$A$998,'Materiales Tanque Base'!$E12)*$F12</f>
        <v>215.35712188264401</v>
      </c>
      <c r="L12" s="137">
        <f>+G12/Altura_TanqueBase</f>
        <v>5.8034160392130536</v>
      </c>
      <c r="M12" s="137">
        <f>+H12/Altura_TanqueBase</f>
        <v>0.23063333333333336</v>
      </c>
      <c r="N12" s="137">
        <f>+I12/Altura_TanqueBase</f>
        <v>0</v>
      </c>
      <c r="O12" s="137">
        <f>+J12/Altura_TanqueBase</f>
        <v>88.162097312588529</v>
      </c>
      <c r="P12" s="137">
        <f>+K12/Altura_TanqueBase</f>
        <v>4.4866067058884171</v>
      </c>
      <c r="Q12" s="138" t="s">
        <v>732</v>
      </c>
      <c r="R12" s="141">
        <f>L12*Altura</f>
        <v>121.87173682347412</v>
      </c>
      <c r="S12" s="141">
        <f>M12*Altura</f>
        <v>4.8433000000000002</v>
      </c>
      <c r="T12" s="141">
        <f>N12*Altura</f>
        <v>0</v>
      </c>
      <c r="U12" s="141">
        <f>O12*Altura</f>
        <v>1851.4040435643592</v>
      </c>
      <c r="V12" s="141">
        <f>P12*Altura</f>
        <v>94.218740823656759</v>
      </c>
      <c r="W12" s="137">
        <f>SUMIFS('BD Materiales'!$S:$S,'BD Materiales'!$A:$A,'Materiales Tanque Base'!$E12,'BD Materiales'!$B:$B,"Lámina")*$F12</f>
        <v>568.42242713473649</v>
      </c>
      <c r="X12" s="137">
        <f>SUMIFS('BD Materiales'!$S:$S,'BD Materiales'!$A:$A,'Materiales Tanque Base'!$E12,'BD Materiales'!$B:$B,"Tubería")*$F12</f>
        <v>24.229225433526022</v>
      </c>
      <c r="Y12" s="137">
        <f>SUMIFS('BD Materiales'!$S:$S,'BD Materiales'!$A:$A,'Materiales Tanque Base'!$E12,'BD Materiales'!$B:$B,"Accesorio")*$F12</f>
        <v>0</v>
      </c>
      <c r="Z12" s="137">
        <f>SUMIFS('BD Materiales'!$S:$S,'BD Materiales'!$A:$A,'Materiales Tanque Base'!$E12,'BD Materiales'!$B:$B,"Perfil")*$F12</f>
        <v>9261.8846530387309</v>
      </c>
      <c r="AA12" s="137">
        <f>SUMIFS('BD Materiales'!$S:$S,'BD Materiales'!$A:$A,'Materiales Tanque Base'!$E12,'BD Materiales'!$B:$B,"Tornillería")*$F12</f>
        <v>688.94314257087069</v>
      </c>
      <c r="AB12" s="139">
        <f t="shared" si="3"/>
        <v>248.68481187144724</v>
      </c>
      <c r="AC12" s="139">
        <f t="shared" si="4"/>
        <v>10.600286127167633</v>
      </c>
      <c r="AD12" s="139">
        <f t="shared" si="5"/>
        <v>0</v>
      </c>
      <c r="AE12" s="139">
        <f t="shared" si="6"/>
        <v>4052.0745357044448</v>
      </c>
      <c r="AF12" s="139">
        <f t="shared" si="7"/>
        <v>301.41262487475592</v>
      </c>
    </row>
    <row r="13" spans="1:32">
      <c r="A13" s="618">
        <v>0</v>
      </c>
      <c r="B13" s="618">
        <v>1</v>
      </c>
      <c r="C13" s="618">
        <v>0</v>
      </c>
      <c r="D13" s="619">
        <f t="shared" si="0"/>
        <v>1</v>
      </c>
      <c r="E13" s="134" t="s">
        <v>742</v>
      </c>
      <c r="F13" s="135">
        <f>$D13</f>
        <v>1</v>
      </c>
      <c r="G13" s="140">
        <f>SUMIFS('BD Materiales'!L$3:L$998,'BD Materiales'!$A$3:$A$998,'Materiales Tanque Base'!$E13)*$F13</f>
        <v>522.46651110545554</v>
      </c>
      <c r="H13" s="140">
        <f>SUMIFS('BD Materiales'!M$3:M$998,'BD Materiales'!$A$3:$A$998,'Materiales Tanque Base'!$E13)*$F13</f>
        <v>8724.4292999999998</v>
      </c>
      <c r="I13" s="140">
        <f>SUMIFS('BD Materiales'!N$3:N$998,'BD Materiales'!$A$3:$A$998,'Materiales Tanque Base'!$E13)*$F13</f>
        <v>0</v>
      </c>
      <c r="J13" s="140">
        <f>SUMIFS('BD Materiales'!O$3:O$998,'BD Materiales'!$A$3:$A$998,'Materiales Tanque Base'!$E13)*$F13</f>
        <v>0</v>
      </c>
      <c r="K13" s="140">
        <f>SUMIFS('BD Materiales'!P$3:P$998,'BD Materiales'!$A$3:$A$998,'Materiales Tanque Base'!$E13)*$F13</f>
        <v>184.57511999999997</v>
      </c>
      <c r="L13" s="137">
        <f>G13/((180*180*0.3048*0.3048*3.1416)/4)</f>
        <v>0.2210001792461653</v>
      </c>
      <c r="M13" s="137">
        <f>H13/((180*180*0.3048*0.3048*3.1416)/4)</f>
        <v>3.6903809108088943</v>
      </c>
      <c r="N13" s="137">
        <f>I13/((180*180*0.3048*0.3048*3.1416)/4)</f>
        <v>0</v>
      </c>
      <c r="O13" s="137">
        <f>J13/((180*180*0.3048*0.3048*3.1416)/4)</f>
        <v>0</v>
      </c>
      <c r="P13" s="137">
        <f>K13/((180*180*0.3048*0.3048*3.1416)/4)</f>
        <v>7.8074161189919999E-2</v>
      </c>
      <c r="Q13" s="138" t="s">
        <v>740</v>
      </c>
      <c r="R13" s="141">
        <f>L13*fac_area_techof</f>
        <v>5.719615294703301</v>
      </c>
      <c r="S13" s="141">
        <f>M13*fac_area_techof</f>
        <v>95.509239733387687</v>
      </c>
      <c r="T13" s="141">
        <f>N13*fac_area_techof</f>
        <v>0</v>
      </c>
      <c r="U13" s="141">
        <f>O13*fac_area_techof</f>
        <v>0</v>
      </c>
      <c r="V13" s="141">
        <f>P13*fac_area_techof</f>
        <v>2.0206054492181855</v>
      </c>
      <c r="W13" s="137">
        <f>SUMIFS('BD Materiales'!$S:$S,'BD Materiales'!$A:$A,'Materiales Tanque Base'!$E13,'BD Materiales'!$B:$B,"Lámina")*$F13</f>
        <v>1066.1166354885777</v>
      </c>
      <c r="X13" s="137">
        <f>SUMIFS('BD Materiales'!$S:$S,'BD Materiales'!$A:$A,'Materiales Tanque Base'!$E13,'BD Materiales'!$B:$B,"Tubería")*$F13</f>
        <v>26070.135162611645</v>
      </c>
      <c r="Y13" s="137">
        <f>SUMIFS('BD Materiales'!$S:$S,'BD Materiales'!$A:$A,'Materiales Tanque Base'!$E13,'BD Materiales'!$B:$B,"Accesorio")*$F13</f>
        <v>0</v>
      </c>
      <c r="Z13" s="137">
        <f>SUMIFS('BD Materiales'!$S:$S,'BD Materiales'!$A:$A,'Materiales Tanque Base'!$E13,'BD Materiales'!$B:$B,"Perfil")*$F13</f>
        <v>0</v>
      </c>
      <c r="AA13" s="137">
        <f>SUMIFS('BD Materiales'!$S:$S,'BD Materiales'!$A:$A,'Materiales Tanque Base'!$E13,'BD Materiales'!$B:$B,"Tornillería")*$F13</f>
        <v>593.10397204414016</v>
      </c>
      <c r="AB13" s="139">
        <f t="shared" si="3"/>
        <v>11.671134674978827</v>
      </c>
      <c r="AC13" s="139">
        <f t="shared" si="4"/>
        <v>285.39847175192256</v>
      </c>
      <c r="AD13" s="139">
        <f t="shared" si="5"/>
        <v>0</v>
      </c>
      <c r="AE13" s="139">
        <f t="shared" si="6"/>
        <v>0</v>
      </c>
      <c r="AF13" s="139">
        <f t="shared" si="7"/>
        <v>6.4929071581551199</v>
      </c>
    </row>
    <row r="14" spans="1:32">
      <c r="A14" s="618">
        <v>0</v>
      </c>
      <c r="B14" s="618">
        <v>1</v>
      </c>
      <c r="C14" s="618">
        <v>0</v>
      </c>
      <c r="D14" s="619">
        <f t="shared" si="0"/>
        <v>1</v>
      </c>
      <c r="E14" s="134" t="s">
        <v>743</v>
      </c>
      <c r="F14" s="135">
        <f>2*$D14</f>
        <v>2</v>
      </c>
      <c r="G14" s="140">
        <f>SUMIFS('BD Materiales'!L$3:L$998,'BD Materiales'!$A$3:$A$998,'Materiales Tanque Base'!$E14)*$F14</f>
        <v>150.02340231094365</v>
      </c>
      <c r="H14" s="140">
        <f>SUMIFS('BD Materiales'!M$3:M$998,'BD Materiales'!$A$3:$A$998,'Materiales Tanque Base'!$E14)*$F14</f>
        <v>3454.9748999999997</v>
      </c>
      <c r="I14" s="140">
        <f>SUMIFS('BD Materiales'!N$3:N$998,'BD Materiales'!$A$3:$A$998,'Materiales Tanque Base'!$E14)*$F14</f>
        <v>472.9</v>
      </c>
      <c r="J14" s="140">
        <f>SUMIFS('BD Materiales'!O$3:O$998,'BD Materiales'!$A$3:$A$998,'Materiales Tanque Base'!$E14)*$F14</f>
        <v>255.8626414995</v>
      </c>
      <c r="K14" s="140">
        <f>SUMIFS('BD Materiales'!P$3:P$998,'BD Materiales'!$A$3:$A$998,'Materiales Tanque Base'!$E14)*$F14</f>
        <v>22.176499999999997</v>
      </c>
      <c r="L14" s="137">
        <f t="shared" ref="L14:P18" si="8">G14/Diametro_TanqueBase</f>
        <v>0.85727658463396372</v>
      </c>
      <c r="M14" s="137">
        <f t="shared" si="8"/>
        <v>19.742713714285713</v>
      </c>
      <c r="N14" s="137">
        <f t="shared" si="8"/>
        <v>2.702285714285714</v>
      </c>
      <c r="O14" s="137">
        <f t="shared" si="8"/>
        <v>1.4620722371399999</v>
      </c>
      <c r="P14" s="137">
        <f t="shared" si="8"/>
        <v>0.12672285714285714</v>
      </c>
      <c r="Q14" s="138" t="s">
        <v>730</v>
      </c>
      <c r="R14" s="137">
        <f t="shared" ref="R14:V18" si="9">L14*Diametro</f>
        <v>16.145375677244409</v>
      </c>
      <c r="S14" s="137">
        <f t="shared" si="9"/>
        <v>371.8211082850562</v>
      </c>
      <c r="T14" s="137">
        <f t="shared" si="9"/>
        <v>50.893047618957539</v>
      </c>
      <c r="U14" s="137">
        <f t="shared" si="9"/>
        <v>27.535693799421264</v>
      </c>
      <c r="V14" s="137">
        <f t="shared" si="9"/>
        <v>2.3866138095195852</v>
      </c>
      <c r="W14" s="137">
        <f>SUMIFS('BD Materiales'!$S:$S,'BD Materiales'!$A:$A,'Materiales Tanque Base'!$E14,'BD Materiales'!$B:$B,"Lámina")*$F14</f>
        <v>306.12956336259703</v>
      </c>
      <c r="X14" s="137">
        <f>SUMIFS('BD Materiales'!$S:$S,'BD Materiales'!$A:$A,'Materiales Tanque Base'!$E14,'BD Materiales'!$B:$B,"Tubería")*$F14</f>
        <v>10324.075023042558</v>
      </c>
      <c r="Y14" s="137">
        <f>SUMIFS('BD Materiales'!$S:$S,'BD Materiales'!$A:$A,'Materiales Tanque Base'!$E14,'BD Materiales'!$B:$B,"Accesorio")*$F14</f>
        <v>2137.1203363110858</v>
      </c>
      <c r="Z14" s="137">
        <f>SUMIFS('BD Materiales'!$S:$S,'BD Materiales'!$A:$A,'Materiales Tanque Base'!$E14,'BD Materiales'!$B:$B,"Perfil")*$F14</f>
        <v>559.99364258823846</v>
      </c>
      <c r="AA14" s="137">
        <f>SUMIFS('BD Materiales'!$S:$S,'BD Materiales'!$A:$A,'Materiales Tanque Base'!$E14,'BD Materiales'!$B:$B,"Tornillería")*$F14</f>
        <v>88.654491592222712</v>
      </c>
      <c r="AB14" s="139">
        <f t="shared" si="3"/>
        <v>32.945372057059274</v>
      </c>
      <c r="AC14" s="139">
        <f t="shared" si="4"/>
        <v>1111.0671215254708</v>
      </c>
      <c r="AD14" s="139">
        <f t="shared" si="5"/>
        <v>229.99485524069073</v>
      </c>
      <c r="AE14" s="139">
        <f t="shared" si="6"/>
        <v>60.265982487960898</v>
      </c>
      <c r="AF14" s="139">
        <f t="shared" si="7"/>
        <v>9.5409119522889867</v>
      </c>
    </row>
    <row r="15" spans="1:32">
      <c r="A15" s="618">
        <v>0</v>
      </c>
      <c r="B15" s="618">
        <v>0</v>
      </c>
      <c r="C15" s="618">
        <v>1</v>
      </c>
      <c r="D15" s="619">
        <f t="shared" si="0"/>
        <v>0</v>
      </c>
      <c r="E15" s="134" t="s">
        <v>744</v>
      </c>
      <c r="F15" s="135">
        <f>$D15</f>
        <v>0</v>
      </c>
      <c r="G15" s="140">
        <f>SUMIFS('BD Materiales'!L$3:L$998,'BD Materiales'!$A$3:$A$998,'Materiales Tanque Base'!$E15)*$F15</f>
        <v>0</v>
      </c>
      <c r="H15" s="140">
        <f>SUMIFS('BD Materiales'!M$3:M$998,'BD Materiales'!$A$3:$A$998,'Materiales Tanque Base'!$E15)*$F15</f>
        <v>0</v>
      </c>
      <c r="I15" s="140">
        <f>SUMIFS('BD Materiales'!N$3:N$998,'BD Materiales'!$A$3:$A$998,'Materiales Tanque Base'!$E15)*$F15</f>
        <v>0</v>
      </c>
      <c r="J15" s="140">
        <f>SUMIFS('BD Materiales'!O$3:O$998,'BD Materiales'!$A$3:$A$998,'Materiales Tanque Base'!$E15)*$F15</f>
        <v>0</v>
      </c>
      <c r="K15" s="140">
        <f>SUMIFS('BD Materiales'!P$3:P$998,'BD Materiales'!$A$3:$A$998,'Materiales Tanque Base'!$E15)*$F15</f>
        <v>0</v>
      </c>
      <c r="L15" s="137">
        <f t="shared" si="8"/>
        <v>0</v>
      </c>
      <c r="M15" s="137">
        <f t="shared" si="8"/>
        <v>0</v>
      </c>
      <c r="N15" s="137">
        <f t="shared" si="8"/>
        <v>0</v>
      </c>
      <c r="O15" s="137">
        <f t="shared" si="8"/>
        <v>0</v>
      </c>
      <c r="P15" s="137">
        <f t="shared" si="8"/>
        <v>0</v>
      </c>
      <c r="Q15" s="138" t="s">
        <v>730</v>
      </c>
      <c r="R15" s="137">
        <f t="shared" si="9"/>
        <v>0</v>
      </c>
      <c r="S15" s="137">
        <f t="shared" si="9"/>
        <v>0</v>
      </c>
      <c r="T15" s="137">
        <f t="shared" si="9"/>
        <v>0</v>
      </c>
      <c r="U15" s="137">
        <f t="shared" si="9"/>
        <v>0</v>
      </c>
      <c r="V15" s="137">
        <f t="shared" si="9"/>
        <v>0</v>
      </c>
      <c r="W15" s="137">
        <f>SUMIFS('BD Materiales'!$S:$S,'BD Materiales'!$A:$A,'Materiales Tanque Base'!$E15,'BD Materiales'!$B:$B,"Lámina")*$F15</f>
        <v>0</v>
      </c>
      <c r="X15" s="137">
        <f>SUMIFS('BD Materiales'!$S:$S,'BD Materiales'!$A:$A,'Materiales Tanque Base'!$E15,'BD Materiales'!$B:$B,"Tubería")*$F15</f>
        <v>0</v>
      </c>
      <c r="Y15" s="137">
        <f>SUMIFS('BD Materiales'!$S:$S,'BD Materiales'!$A:$A,'Materiales Tanque Base'!$E15,'BD Materiales'!$B:$B,"Accesorio")*$F15</f>
        <v>0</v>
      </c>
      <c r="Z15" s="137">
        <f>SUMIFS('BD Materiales'!$S:$S,'BD Materiales'!$A:$A,'Materiales Tanque Base'!$E15,'BD Materiales'!$B:$B,"Perfil")*$F15</f>
        <v>0</v>
      </c>
      <c r="AA15" s="137">
        <f>SUMIFS('BD Materiales'!$S:$S,'BD Materiales'!$A:$A,'Materiales Tanque Base'!$E15,'BD Materiales'!$B:$B,"Tornillería")*$F15</f>
        <v>0</v>
      </c>
      <c r="AB15" s="139">
        <f t="shared" si="3"/>
        <v>0</v>
      </c>
      <c r="AC15" s="139">
        <f t="shared" si="4"/>
        <v>0</v>
      </c>
      <c r="AD15" s="139">
        <f t="shared" si="5"/>
        <v>0</v>
      </c>
      <c r="AE15" s="139">
        <f t="shared" si="6"/>
        <v>0</v>
      </c>
      <c r="AF15" s="139">
        <f t="shared" si="7"/>
        <v>0</v>
      </c>
    </row>
    <row r="16" spans="1:32">
      <c r="A16" s="618">
        <v>0</v>
      </c>
      <c r="B16" s="618">
        <v>1</v>
      </c>
      <c r="C16" s="618">
        <v>0</v>
      </c>
      <c r="D16" s="619">
        <f t="shared" si="0"/>
        <v>1</v>
      </c>
      <c r="E16" s="134" t="s">
        <v>745</v>
      </c>
      <c r="F16" s="135">
        <f>$D16</f>
        <v>1</v>
      </c>
      <c r="G16" s="140">
        <f>SUMIFS('BD Materiales'!L$3:L$998,'BD Materiales'!$A$3:$A$998,'Materiales Tanque Base'!$E16)*$F16</f>
        <v>1653.2577438004801</v>
      </c>
      <c r="H16" s="140">
        <f>SUMIFS('BD Materiales'!M$3:M$998,'BD Materiales'!$A$3:$A$998,'Materiales Tanque Base'!$E16)*$F16</f>
        <v>0</v>
      </c>
      <c r="I16" s="140">
        <f>SUMIFS('BD Materiales'!N$3:N$998,'BD Materiales'!$A$3:$A$998,'Materiales Tanque Base'!$E16)*$F16</f>
        <v>0</v>
      </c>
      <c r="J16" s="140">
        <f>SUMIFS('BD Materiales'!O$3:O$998,'BD Materiales'!$A$3:$A$998,'Materiales Tanque Base'!$E16)*$F16</f>
        <v>1330.3444360799999</v>
      </c>
      <c r="K16" s="140">
        <f>SUMIFS('BD Materiales'!P$3:P$998,'BD Materiales'!$A$3:$A$998,'Materiales Tanque Base'!$E16)*$F16</f>
        <v>0</v>
      </c>
      <c r="L16" s="137">
        <f t="shared" si="8"/>
        <v>9.447187107431315</v>
      </c>
      <c r="M16" s="137">
        <f t="shared" si="8"/>
        <v>0</v>
      </c>
      <c r="N16" s="137">
        <f t="shared" si="8"/>
        <v>0</v>
      </c>
      <c r="O16" s="137">
        <f t="shared" si="8"/>
        <v>7.6019682061714278</v>
      </c>
      <c r="P16" s="137">
        <f t="shared" si="8"/>
        <v>0</v>
      </c>
      <c r="Q16" s="138" t="s">
        <v>730</v>
      </c>
      <c r="R16" s="137">
        <f t="shared" si="9"/>
        <v>177.92202385630819</v>
      </c>
      <c r="S16" s="137">
        <f t="shared" si="9"/>
        <v>0</v>
      </c>
      <c r="T16" s="137">
        <f t="shared" si="9"/>
        <v>0</v>
      </c>
      <c r="U16" s="137">
        <f t="shared" si="9"/>
        <v>143.17040121597518</v>
      </c>
      <c r="V16" s="137">
        <f t="shared" si="9"/>
        <v>0</v>
      </c>
      <c r="W16" s="137">
        <f>SUMIFS('BD Materiales'!$S:$S,'BD Materiales'!$A:$A,'Materiales Tanque Base'!$E16,'BD Materiales'!$B:$B,"Lámina")*$F16</f>
        <v>3373.5474828553083</v>
      </c>
      <c r="X16" s="137">
        <f>SUMIFS('BD Materiales'!$S:$S,'BD Materiales'!$A:$A,'Materiales Tanque Base'!$E16,'BD Materiales'!$B:$B,"Tubería")*$F16</f>
        <v>0</v>
      </c>
      <c r="Y16" s="137">
        <f>SUMIFS('BD Materiales'!$S:$S,'BD Materiales'!$A:$A,'Materiales Tanque Base'!$E16,'BD Materiales'!$B:$B,"Accesorio")*$F16</f>
        <v>0</v>
      </c>
      <c r="Z16" s="137">
        <f>SUMIFS('BD Materiales'!$S:$S,'BD Materiales'!$A:$A,'Materiales Tanque Base'!$E16,'BD Materiales'!$B:$B,"Perfil")*$F16</f>
        <v>2911.657685902891</v>
      </c>
      <c r="AA16" s="137">
        <f>SUMIFS('BD Materiales'!$S:$S,'BD Materiales'!$A:$A,'Materiales Tanque Base'!$E16,'BD Materiales'!$B:$B,"Tornillería")*$F16</f>
        <v>0</v>
      </c>
      <c r="AB16" s="139">
        <f t="shared" si="3"/>
        <v>363.05796720188107</v>
      </c>
      <c r="AC16" s="139">
        <f t="shared" si="4"/>
        <v>0</v>
      </c>
      <c r="AD16" s="139">
        <f t="shared" si="5"/>
        <v>0</v>
      </c>
      <c r="AE16" s="139">
        <f t="shared" si="6"/>
        <v>313.34982714899468</v>
      </c>
      <c r="AF16" s="139">
        <f t="shared" si="7"/>
        <v>0</v>
      </c>
    </row>
    <row r="17" spans="1:32">
      <c r="A17" s="618">
        <v>1</v>
      </c>
      <c r="B17" s="618">
        <v>1</v>
      </c>
      <c r="C17" s="618">
        <v>1</v>
      </c>
      <c r="D17" s="619">
        <f t="shared" si="0"/>
        <v>1</v>
      </c>
      <c r="E17" s="134" t="s">
        <v>746</v>
      </c>
      <c r="F17" s="135">
        <f>$D17</f>
        <v>1</v>
      </c>
      <c r="G17" s="140">
        <f>SUMIFS('BD Materiales'!L$3:L$998,'BD Materiales'!$A$3:$A$998,'Materiales Tanque Base'!$E17)*$F17</f>
        <v>29.227855737719999</v>
      </c>
      <c r="H17" s="140">
        <f>SUMIFS('BD Materiales'!M$3:M$998,'BD Materiales'!$A$3:$A$998,'Materiales Tanque Base'!$E17)*$F17</f>
        <v>1867.2081199999998</v>
      </c>
      <c r="I17" s="140">
        <f>SUMIFS('BD Materiales'!N$3:N$998,'BD Materiales'!$A$3:$A$998,'Materiales Tanque Base'!$E17)*$F17</f>
        <v>86.67</v>
      </c>
      <c r="J17" s="140">
        <f>SUMIFS('BD Materiales'!O$3:O$998,'BD Materiales'!$A$3:$A$998,'Materiales Tanque Base'!$E17)*$F17</f>
        <v>483.21464647199997</v>
      </c>
      <c r="K17" s="140">
        <f>SUMIFS('BD Materiales'!P$3:P$998,'BD Materiales'!$A$3:$A$998,'Materiales Tanque Base'!$E17)*$F17</f>
        <v>12.64</v>
      </c>
      <c r="L17" s="137">
        <f t="shared" si="8"/>
        <v>0.16701631850125714</v>
      </c>
      <c r="M17" s="137">
        <f t="shared" si="8"/>
        <v>10.669760685714284</v>
      </c>
      <c r="N17" s="137">
        <f t="shared" si="8"/>
        <v>0.49525714285714284</v>
      </c>
      <c r="O17" s="137">
        <f t="shared" si="8"/>
        <v>2.7612265512685714</v>
      </c>
      <c r="P17" s="137">
        <f t="shared" si="8"/>
        <v>7.2228571428571434E-2</v>
      </c>
      <c r="Q17" s="138" t="s">
        <v>730</v>
      </c>
      <c r="R17" s="137">
        <f t="shared" si="9"/>
        <v>3.1454739984347757</v>
      </c>
      <c r="S17" s="137">
        <f t="shared" si="9"/>
        <v>200.94715958059669</v>
      </c>
      <c r="T17" s="137">
        <f t="shared" si="9"/>
        <v>9.3273428571263484</v>
      </c>
      <c r="U17" s="137">
        <f t="shared" si="9"/>
        <v>52.003100048799389</v>
      </c>
      <c r="V17" s="137">
        <f t="shared" si="9"/>
        <v>1.3603047619023545</v>
      </c>
      <c r="W17" s="137">
        <f>SUMIFS('BD Materiales'!$S:$S,'BD Materiales'!$A:$A,'Materiales Tanque Base'!$E17,'BD Materiales'!$B:$B,"Lámina")*$F17</f>
        <v>59.640766554995736</v>
      </c>
      <c r="X17" s="137">
        <f>SUMIFS('BD Materiales'!$S:$S,'BD Materiales'!$A:$A,'Materiales Tanque Base'!$E17,'BD Materiales'!$B:$B,"Tubería")*$F17</f>
        <v>5579.5475430267961</v>
      </c>
      <c r="Y17" s="137">
        <f>SUMIFS('BD Materiales'!$S:$S,'BD Materiales'!$A:$A,'Materiales Tanque Base'!$E17,'BD Materiales'!$B:$B,"Accesorio")*$F17</f>
        <v>416.797425118234</v>
      </c>
      <c r="Z17" s="137">
        <f>SUMIFS('BD Materiales'!$S:$S,'BD Materiales'!$A:$A,'Materiales Tanque Base'!$E17,'BD Materiales'!$B:$B,"Perfil")*$F17</f>
        <v>1057.5874947745037</v>
      </c>
      <c r="AA17" s="137">
        <f>SUMIFS('BD Materiales'!$S:$S,'BD Materiales'!$A:$A,'Materiales Tanque Base'!$E17,'BD Materiales'!$B:$B,"Tornillería")*$F17</f>
        <v>40.616710457172843</v>
      </c>
      <c r="AB17" s="139">
        <f t="shared" si="3"/>
        <v>6.4184824959072291</v>
      </c>
      <c r="AC17" s="139">
        <f t="shared" si="4"/>
        <v>600.46559272467812</v>
      </c>
      <c r="AD17" s="139">
        <f t="shared" si="5"/>
        <v>44.855341941216267</v>
      </c>
      <c r="AE17" s="139">
        <f t="shared" si="6"/>
        <v>113.81655896124515</v>
      </c>
      <c r="AF17" s="139">
        <f t="shared" si="7"/>
        <v>4.3711316968118172</v>
      </c>
    </row>
    <row r="18" spans="1:32">
      <c r="A18" s="618">
        <v>1</v>
      </c>
      <c r="B18" s="618">
        <v>1</v>
      </c>
      <c r="C18" s="618">
        <v>1</v>
      </c>
      <c r="D18" s="619">
        <f t="shared" si="0"/>
        <v>1</v>
      </c>
      <c r="E18" s="134" t="s">
        <v>747</v>
      </c>
      <c r="F18" s="135">
        <f>$D18</f>
        <v>1</v>
      </c>
      <c r="G18" s="136">
        <v>0</v>
      </c>
      <c r="H18" s="136">
        <f>5.49*(54.87*PI()+14.63)</f>
        <v>1026.680447074571</v>
      </c>
      <c r="I18" s="136">
        <v>0</v>
      </c>
      <c r="J18" s="136">
        <f>37*0.569*9.68+37*0.13*0.13*49.85</f>
        <v>234.96424499999998</v>
      </c>
      <c r="K18" s="136">
        <v>0</v>
      </c>
      <c r="L18" s="137">
        <f t="shared" si="8"/>
        <v>0</v>
      </c>
      <c r="M18" s="137">
        <f t="shared" si="8"/>
        <v>5.8667454118546916</v>
      </c>
      <c r="N18" s="137">
        <f t="shared" si="8"/>
        <v>0</v>
      </c>
      <c r="O18" s="137">
        <f t="shared" si="8"/>
        <v>1.3426528285714285</v>
      </c>
      <c r="P18" s="137">
        <f t="shared" si="8"/>
        <v>0</v>
      </c>
      <c r="Q18" s="138" t="s">
        <v>730</v>
      </c>
      <c r="R18" s="137">
        <f t="shared" si="9"/>
        <v>0</v>
      </c>
      <c r="S18" s="137">
        <f t="shared" si="9"/>
        <v>110.4903719230678</v>
      </c>
      <c r="T18" s="137">
        <f t="shared" si="9"/>
        <v>0</v>
      </c>
      <c r="U18" s="137">
        <f t="shared" si="9"/>
        <v>25.286628271383815</v>
      </c>
      <c r="V18" s="137">
        <f t="shared" si="9"/>
        <v>0</v>
      </c>
      <c r="W18" s="664">
        <f>SUMIFS('BD Materiales'!$S:$S,'BD Materiales'!$A:$A,'Materiales Tanque Base'!$E18,'BD Materiales'!$B:$B,"Lámina")*$F18</f>
        <v>0</v>
      </c>
      <c r="X18" s="664">
        <f>H18*14800/trm_ref</f>
        <v>3860.6465614282533</v>
      </c>
      <c r="Y18" s="664">
        <f>SUMIFS('BD Materiales'!$S:$S,'BD Materiales'!$A:$A,'Materiales Tanque Base'!$E18,'BD Materiales'!$B:$B,"Accesorio")*$F18</f>
        <v>0</v>
      </c>
      <c r="Z18" s="664">
        <f>J18*14800/trm_ref</f>
        <v>883.54064509806437</v>
      </c>
      <c r="AA18" s="664">
        <f>SUMIFS('BD Materiales'!$S:$S,'BD Materiales'!$A:$A,'Materiales Tanque Base'!$E18,'BD Materiales'!$B:$B,"Tornillería")*$F18</f>
        <v>0</v>
      </c>
      <c r="AB18" s="139">
        <f t="shared" si="3"/>
        <v>0</v>
      </c>
      <c r="AC18" s="139">
        <f t="shared" si="4"/>
        <v>415.47910613392429</v>
      </c>
      <c r="AD18" s="139">
        <f t="shared" si="5"/>
        <v>0</v>
      </c>
      <c r="AE18" s="139">
        <f>IFERROR(Z18*U18/J18,0)</f>
        <v>95.085802758004348</v>
      </c>
      <c r="AF18" s="139">
        <f t="shared" si="7"/>
        <v>0</v>
      </c>
    </row>
    <row r="19" spans="1:32">
      <c r="A19" s="618">
        <v>1</v>
      </c>
      <c r="B19" s="618">
        <v>1</v>
      </c>
      <c r="C19" s="618">
        <v>1</v>
      </c>
      <c r="D19" s="619">
        <f t="shared" si="0"/>
        <v>1</v>
      </c>
      <c r="E19" s="134" t="s">
        <v>748</v>
      </c>
      <c r="F19" s="135">
        <f>2*$D19</f>
        <v>2</v>
      </c>
      <c r="G19" s="140">
        <f>SUMIFS('BD Materiales'!L$3:L$998,'BD Materiales'!$A$3:$A$998,'Materiales Tanque Base'!$E19)*$F19</f>
        <v>629.54383995012438</v>
      </c>
      <c r="H19" s="140">
        <f>SUMIFS('BD Materiales'!M$3:M$998,'BD Materiales'!$A$3:$A$998,'Materiales Tanque Base'!$E19)*$F19</f>
        <v>41.177320000000009</v>
      </c>
      <c r="I19" s="140">
        <f>SUMIFS('BD Materiales'!N$3:N$998,'BD Materiales'!$A$3:$A$998,'Materiales Tanque Base'!$E19)*$F19</f>
        <v>0</v>
      </c>
      <c r="J19" s="140">
        <f>SUMIFS('BD Materiales'!O$3:O$998,'BD Materiales'!$A$3:$A$998,'Materiales Tanque Base'!$E19)*$F19</f>
        <v>0</v>
      </c>
      <c r="K19" s="140">
        <f>SUMIFS('BD Materiales'!P$3:P$998,'BD Materiales'!$A$3:$A$998,'Materiales Tanque Base'!$E19)*$F19</f>
        <v>120.37150000000001</v>
      </c>
      <c r="L19" s="137">
        <f t="shared" ref="L19:P22" si="10">G19/1</f>
        <v>629.54383995012438</v>
      </c>
      <c r="M19" s="137">
        <f t="shared" si="10"/>
        <v>41.177320000000009</v>
      </c>
      <c r="N19" s="137">
        <f t="shared" si="10"/>
        <v>0</v>
      </c>
      <c r="O19" s="137">
        <f t="shared" si="10"/>
        <v>0</v>
      </c>
      <c r="P19" s="137">
        <f t="shared" si="10"/>
        <v>120.37150000000001</v>
      </c>
      <c r="Q19" s="138">
        <v>1</v>
      </c>
      <c r="R19" s="142">
        <f t="shared" ref="R19:V22" si="11">L19</f>
        <v>629.54383995012438</v>
      </c>
      <c r="S19" s="142">
        <f t="shared" si="11"/>
        <v>41.177320000000009</v>
      </c>
      <c r="T19" s="142">
        <f t="shared" si="11"/>
        <v>0</v>
      </c>
      <c r="U19" s="142">
        <f t="shared" si="11"/>
        <v>0</v>
      </c>
      <c r="V19" s="142">
        <f t="shared" si="11"/>
        <v>120.37150000000001</v>
      </c>
      <c r="W19" s="137">
        <f>SUMIFS('BD Materiales'!$S:$S,'BD Materiales'!$A:$A,'Materiales Tanque Base'!$E19,'BD Materiales'!$B:$B,"Lámina")*$F19</f>
        <v>1284.6127862245257</v>
      </c>
      <c r="X19" s="137">
        <f>SUMIFS('BD Materiales'!$S:$S,'BD Materiales'!$A:$A,'Materiales Tanque Base'!$E19,'BD Materiales'!$B:$B,"Tubería")*$F19</f>
        <v>152.37154565423003</v>
      </c>
      <c r="Y19" s="137">
        <f>SUMIFS('BD Materiales'!$S:$S,'BD Materiales'!$A:$A,'Materiales Tanque Base'!$E19,'BD Materiales'!$B:$B,"Accesorio")*$F19</f>
        <v>0</v>
      </c>
      <c r="Z19" s="137">
        <f>SUMIFS('BD Materiales'!$S:$S,'BD Materiales'!$A:$A,'Materiales Tanque Base'!$E19,'BD Materiales'!$B:$B,"Perfil")*$F19</f>
        <v>0</v>
      </c>
      <c r="AA19" s="137">
        <f>SUMIFS('BD Materiales'!$S:$S,'BD Materiales'!$A:$A,'Materiales Tanque Base'!$E19,'BD Materiales'!$B:$B,"Tornillería")*$F19</f>
        <v>386.79544009458715</v>
      </c>
      <c r="AB19" s="139">
        <f t="shared" si="3"/>
        <v>1284.6127862245257</v>
      </c>
      <c r="AC19" s="139">
        <f t="shared" si="4"/>
        <v>152.37154565423003</v>
      </c>
      <c r="AD19" s="139">
        <f t="shared" si="5"/>
        <v>0</v>
      </c>
      <c r="AE19" s="139">
        <f t="shared" si="6"/>
        <v>0</v>
      </c>
      <c r="AF19" s="139">
        <f t="shared" si="7"/>
        <v>386.79544009458715</v>
      </c>
    </row>
    <row r="20" spans="1:32">
      <c r="A20" s="618">
        <v>1</v>
      </c>
      <c r="B20" s="618">
        <v>1</v>
      </c>
      <c r="C20" s="618">
        <v>1</v>
      </c>
      <c r="D20" s="619">
        <f t="shared" si="0"/>
        <v>1</v>
      </c>
      <c r="E20" s="134" t="s">
        <v>749</v>
      </c>
      <c r="F20" s="135">
        <f>3*$D20</f>
        <v>3</v>
      </c>
      <c r="G20" s="140">
        <f>SUMIFS('BD Materiales'!L$3:L$998,'BD Materiales'!$A$3:$A$998,'Materiales Tanque Base'!$E20)*$F20</f>
        <v>206.83898281381346</v>
      </c>
      <c r="H20" s="140">
        <f>SUMIFS('BD Materiales'!M$3:M$998,'BD Materiales'!$A$3:$A$998,'Materiales Tanque Base'!$E20)*$F20</f>
        <v>136.95446999999999</v>
      </c>
      <c r="I20" s="140">
        <f>SUMIFS('BD Materiales'!N$3:N$998,'BD Materiales'!$A$3:$A$998,'Materiales Tanque Base'!$E20)*$F20</f>
        <v>34.29</v>
      </c>
      <c r="J20" s="140">
        <f>SUMIFS('BD Materiales'!O$3:O$998,'BD Materiales'!$A$3:$A$998,'Materiales Tanque Base'!$E20)*$F20</f>
        <v>0</v>
      </c>
      <c r="K20" s="140">
        <f>SUMIFS('BD Materiales'!P$3:P$998,'BD Materiales'!$A$3:$A$998,'Materiales Tanque Base'!$E20)*$F20</f>
        <v>0</v>
      </c>
      <c r="L20" s="137">
        <f t="shared" si="10"/>
        <v>206.83898281381346</v>
      </c>
      <c r="M20" s="137">
        <f t="shared" si="10"/>
        <v>136.95446999999999</v>
      </c>
      <c r="N20" s="137">
        <f t="shared" si="10"/>
        <v>34.29</v>
      </c>
      <c r="O20" s="137">
        <f t="shared" si="10"/>
        <v>0</v>
      </c>
      <c r="P20" s="137">
        <f t="shared" si="10"/>
        <v>0</v>
      </c>
      <c r="Q20" s="138">
        <v>1</v>
      </c>
      <c r="R20" s="142">
        <f t="shared" si="11"/>
        <v>206.83898281381346</v>
      </c>
      <c r="S20" s="142">
        <f t="shared" si="11"/>
        <v>136.95446999999999</v>
      </c>
      <c r="T20" s="142">
        <f t="shared" si="11"/>
        <v>34.29</v>
      </c>
      <c r="U20" s="142">
        <f t="shared" si="11"/>
        <v>0</v>
      </c>
      <c r="V20" s="142">
        <f t="shared" si="11"/>
        <v>0</v>
      </c>
      <c r="W20" s="137">
        <f>SUMIFS('BD Materiales'!$S:$S,'BD Materiales'!$A:$A,'Materiales Tanque Base'!$E20,'BD Materiales'!$B:$B,"Lámina")*$F20</f>
        <v>426.14848829655392</v>
      </c>
      <c r="X20" s="137">
        <f>SUMIFS('BD Materiales'!$S:$S,'BD Materiales'!$A:$A,'Materiales Tanque Base'!$E20,'BD Materiales'!$B:$B,"Tubería")*$F20</f>
        <v>409.24413749605856</v>
      </c>
      <c r="Y20" s="137">
        <f>SUMIFS('BD Materiales'!$S:$S,'BD Materiales'!$A:$A,'Materiales Tanque Base'!$E20,'BD Materiales'!$B:$B,"Accesorio")*$F20</f>
        <v>154.9626904887019</v>
      </c>
      <c r="Z20" s="137">
        <f>SUMIFS('BD Materiales'!$S:$S,'BD Materiales'!$A:$A,'Materiales Tanque Base'!$E20,'BD Materiales'!$B:$B,"Perfil")*$F20</f>
        <v>0</v>
      </c>
      <c r="AA20" s="137">
        <f>SUMIFS('BD Materiales'!$S:$S,'BD Materiales'!$A:$A,'Materiales Tanque Base'!$E20,'BD Materiales'!$B:$B,"Tornillería")*$F20</f>
        <v>0</v>
      </c>
      <c r="AB20" s="139">
        <f t="shared" si="3"/>
        <v>426.14848829655392</v>
      </c>
      <c r="AC20" s="139">
        <f t="shared" si="4"/>
        <v>409.24413749605856</v>
      </c>
      <c r="AD20" s="139">
        <f t="shared" si="5"/>
        <v>154.9626904887019</v>
      </c>
      <c r="AE20" s="139">
        <f t="shared" si="6"/>
        <v>0</v>
      </c>
      <c r="AF20" s="139">
        <f t="shared" si="7"/>
        <v>0</v>
      </c>
    </row>
    <row r="21" spans="1:32">
      <c r="A21" s="618">
        <v>1</v>
      </c>
      <c r="B21" s="618">
        <v>1</v>
      </c>
      <c r="C21" s="618">
        <v>1</v>
      </c>
      <c r="D21" s="619">
        <f t="shared" si="0"/>
        <v>1</v>
      </c>
      <c r="E21" s="134" t="s">
        <v>750</v>
      </c>
      <c r="F21" s="135">
        <f>3*$D21</f>
        <v>3</v>
      </c>
      <c r="G21" s="140">
        <f>SUMIFS('BD Materiales'!L$3:L$998,'BD Materiales'!$A$3:$A$998,'Materiales Tanque Base'!$E21)*$F21</f>
        <v>180.26049173150835</v>
      </c>
      <c r="H21" s="140">
        <f>SUMIFS('BD Materiales'!M$3:M$998,'BD Materiales'!$A$3:$A$998,'Materiales Tanque Base'!$E21)*$F21</f>
        <v>14.751000000000001</v>
      </c>
      <c r="I21" s="140">
        <f>SUMIFS('BD Materiales'!N$3:N$998,'BD Materiales'!$A$3:$A$998,'Materiales Tanque Base'!$E21)*$F21</f>
        <v>0</v>
      </c>
      <c r="J21" s="140">
        <f>SUMIFS('BD Materiales'!O$3:O$998,'BD Materiales'!$A$3:$A$998,'Materiales Tanque Base'!$E21)*$F21</f>
        <v>0</v>
      </c>
      <c r="K21" s="140">
        <f>SUMIFS('BD Materiales'!P$3:P$998,'BD Materiales'!$A$3:$A$998,'Materiales Tanque Base'!$E21)*$F21</f>
        <v>55.201499999999996</v>
      </c>
      <c r="L21" s="137">
        <f t="shared" si="10"/>
        <v>180.26049173150835</v>
      </c>
      <c r="M21" s="137">
        <f t="shared" si="10"/>
        <v>14.751000000000001</v>
      </c>
      <c r="N21" s="137">
        <f t="shared" si="10"/>
        <v>0</v>
      </c>
      <c r="O21" s="137">
        <f t="shared" si="10"/>
        <v>0</v>
      </c>
      <c r="P21" s="137">
        <f t="shared" si="10"/>
        <v>55.201499999999996</v>
      </c>
      <c r="Q21" s="138">
        <v>1</v>
      </c>
      <c r="R21" s="142">
        <f t="shared" si="11"/>
        <v>180.26049173150835</v>
      </c>
      <c r="S21" s="142">
        <f t="shared" si="11"/>
        <v>14.751000000000001</v>
      </c>
      <c r="T21" s="142">
        <f t="shared" si="11"/>
        <v>0</v>
      </c>
      <c r="U21" s="142">
        <f t="shared" si="11"/>
        <v>0</v>
      </c>
      <c r="V21" s="142">
        <f t="shared" si="11"/>
        <v>55.201499999999996</v>
      </c>
      <c r="W21" s="137">
        <f>SUMIFS('BD Materiales'!$S:$S,'BD Materiales'!$A:$A,'Materiales Tanque Base'!$E21,'BD Materiales'!$B:$B,"Lámina")*$F21</f>
        <v>367.82971706587057</v>
      </c>
      <c r="X21" s="137">
        <f>SUMIFS('BD Materiales'!$S:$S,'BD Materiales'!$A:$A,'Materiales Tanque Base'!$E21,'BD Materiales'!$B:$B,"Tubería")*$F21</f>
        <v>44.078592485549109</v>
      </c>
      <c r="Y21" s="137">
        <f>SUMIFS('BD Materiales'!$S:$S,'BD Materiales'!$A:$A,'Materiales Tanque Base'!$E21,'BD Materiales'!$B:$B,"Accesorio")*$F21</f>
        <v>0</v>
      </c>
      <c r="Z21" s="137">
        <f>SUMIFS('BD Materiales'!$S:$S,'BD Materiales'!$A:$A,'Materiales Tanque Base'!$E21,'BD Materiales'!$B:$B,"Perfil")*$F21</f>
        <v>0</v>
      </c>
      <c r="AA21" s="137">
        <f>SUMIFS('BD Materiales'!$S:$S,'BD Materiales'!$A:$A,'Materiales Tanque Base'!$E21,'BD Materiales'!$B:$B,"Tornillería")*$F21</f>
        <v>175.96751050972131</v>
      </c>
      <c r="AB21" s="139">
        <f t="shared" si="3"/>
        <v>367.82971706587057</v>
      </c>
      <c r="AC21" s="139">
        <f t="shared" si="4"/>
        <v>44.078592485549109</v>
      </c>
      <c r="AD21" s="139">
        <f t="shared" si="5"/>
        <v>0</v>
      </c>
      <c r="AE21" s="139">
        <f t="shared" si="6"/>
        <v>0</v>
      </c>
      <c r="AF21" s="139">
        <f t="shared" si="7"/>
        <v>175.96751050972131</v>
      </c>
    </row>
    <row r="22" spans="1:32">
      <c r="A22" s="618">
        <v>0</v>
      </c>
      <c r="B22" s="618">
        <v>1</v>
      </c>
      <c r="C22" s="618">
        <v>1</v>
      </c>
      <c r="D22" s="619">
        <f t="shared" si="0"/>
        <v>1</v>
      </c>
      <c r="E22" s="134" t="s">
        <v>751</v>
      </c>
      <c r="F22" s="135">
        <f>IF(TipoTecho="Flotante",4,IF(TipoTecho="Cónico",3,0))*$D22</f>
        <v>4</v>
      </c>
      <c r="G22" s="140">
        <f>SUMIFS('BD Materiales'!L$3:L$998,'BD Materiales'!$A$3:$A$998,'Materiales Tanque Base'!$E22)*$F22</f>
        <v>222.76904040747971</v>
      </c>
      <c r="H22" s="140">
        <f>SUMIFS('BD Materiales'!M$3:M$998,'BD Materiales'!$A$3:$A$998,'Materiales Tanque Base'!$E22)*$F22</f>
        <v>0</v>
      </c>
      <c r="I22" s="140">
        <f>SUMIFS('BD Materiales'!N$3:N$998,'BD Materiales'!$A$3:$A$998,'Materiales Tanque Base'!$E22)*$F22</f>
        <v>0</v>
      </c>
      <c r="J22" s="140">
        <f>SUMIFS('BD Materiales'!O$3:O$998,'BD Materiales'!$A$3:$A$998,'Materiales Tanque Base'!$E22)*$F22</f>
        <v>124.252590204</v>
      </c>
      <c r="K22" s="140">
        <f>SUMIFS('BD Materiales'!P$3:P$998,'BD Materiales'!$A$3:$A$998,'Materiales Tanque Base'!$E22)*$F22</f>
        <v>65.86</v>
      </c>
      <c r="L22" s="137">
        <f t="shared" si="10"/>
        <v>222.76904040747971</v>
      </c>
      <c r="M22" s="137">
        <f t="shared" si="10"/>
        <v>0</v>
      </c>
      <c r="N22" s="137">
        <f t="shared" si="10"/>
        <v>0</v>
      </c>
      <c r="O22" s="137">
        <f t="shared" si="10"/>
        <v>124.252590204</v>
      </c>
      <c r="P22" s="137">
        <f t="shared" si="10"/>
        <v>65.86</v>
      </c>
      <c r="Q22" s="138">
        <v>1</v>
      </c>
      <c r="R22" s="142">
        <f t="shared" si="11"/>
        <v>222.76904040747971</v>
      </c>
      <c r="S22" s="142">
        <f t="shared" si="11"/>
        <v>0</v>
      </c>
      <c r="T22" s="142">
        <f t="shared" si="11"/>
        <v>0</v>
      </c>
      <c r="U22" s="142">
        <f t="shared" si="11"/>
        <v>124.252590204</v>
      </c>
      <c r="V22" s="142">
        <f t="shared" si="11"/>
        <v>65.86</v>
      </c>
      <c r="W22" s="137">
        <f>SUMIFS('BD Materiales'!$S:$S,'BD Materiales'!$A:$A,'Materiales Tanque Base'!$E22,'BD Materiales'!$B:$B,"Lámina")*$F22</f>
        <v>454.57034049461646</v>
      </c>
      <c r="X22" s="137">
        <f>SUMIFS('BD Materiales'!$S:$S,'BD Materiales'!$A:$A,'Materiales Tanque Base'!$E22,'BD Materiales'!$B:$B,"Tubería")*$F22</f>
        <v>0</v>
      </c>
      <c r="Y22" s="137">
        <f>SUMIFS('BD Materiales'!$S:$S,'BD Materiales'!$A:$A,'Materiales Tanque Base'!$E22,'BD Materiales'!$B:$B,"Accesorio")*$F22</f>
        <v>0</v>
      </c>
      <c r="Z22" s="137">
        <f>SUMIFS('BD Materiales'!$S:$S,'BD Materiales'!$A:$A,'Materiales Tanque Base'!$E22,'BD Materiales'!$B:$B,"Perfil")*$F22</f>
        <v>271.94536952162912</v>
      </c>
      <c r="AA22" s="137">
        <f>SUMIFS('BD Materiales'!$S:$S,'BD Materiales'!$A:$A,'Materiales Tanque Base'!$E22,'BD Materiales'!$B:$B,"Tornillería")*$F22</f>
        <v>189.00572779821323</v>
      </c>
      <c r="AB22" s="139">
        <f t="shared" si="3"/>
        <v>454.57034049461646</v>
      </c>
      <c r="AC22" s="139">
        <f t="shared" si="4"/>
        <v>0</v>
      </c>
      <c r="AD22" s="139">
        <f t="shared" si="5"/>
        <v>0</v>
      </c>
      <c r="AE22" s="139">
        <f t="shared" si="6"/>
        <v>271.94536952162912</v>
      </c>
      <c r="AF22" s="139">
        <f t="shared" si="7"/>
        <v>189.00572779821323</v>
      </c>
    </row>
    <row r="23" spans="1:32">
      <c r="A23" s="618">
        <v>0</v>
      </c>
      <c r="B23" s="618">
        <v>1</v>
      </c>
      <c r="C23" s="618">
        <v>0</v>
      </c>
      <c r="D23" s="619">
        <f t="shared" si="0"/>
        <v>1</v>
      </c>
      <c r="E23" s="146" t="s">
        <v>752</v>
      </c>
      <c r="F23" s="135">
        <f>$D23</f>
        <v>1</v>
      </c>
      <c r="G23" s="140">
        <f>SUMIFS('BD Materiales'!L$3:L$998,'BD Materiales'!$A$3:$A$998,'Materiales Tanque Base'!$E23)*$F23</f>
        <v>304.67548857319764</v>
      </c>
      <c r="H23" s="140">
        <f>SUMIFS('BD Materiales'!M$3:M$998,'BD Materiales'!$A$3:$A$998,'Materiales Tanque Base'!$E23)*$F23</f>
        <v>1979.19724</v>
      </c>
      <c r="I23" s="140">
        <f>SUMIFS('BD Materiales'!N$3:N$998,'BD Materiales'!$A$3:$A$998,'Materiales Tanque Base'!$E23)*$F23</f>
        <v>0</v>
      </c>
      <c r="J23" s="140">
        <f>SUMIFS('BD Materiales'!O$3:O$998,'BD Materiales'!$A$3:$A$998,'Materiales Tanque Base'!$E23)*$F23</f>
        <v>138.03311102999999</v>
      </c>
      <c r="K23" s="140">
        <f>SUMIFS('BD Materiales'!P$3:P$998,'BD Materiales'!$A$3:$A$998,'Materiales Tanque Base'!$E23)*$F23</f>
        <v>35.5704449647872</v>
      </c>
      <c r="L23" s="137">
        <f t="shared" ref="L23:P25" si="12">G23/Diametro_TanqueBase</f>
        <v>1.7410027918468436</v>
      </c>
      <c r="M23" s="137">
        <f t="shared" si="12"/>
        <v>11.309698514285714</v>
      </c>
      <c r="N23" s="137">
        <f t="shared" si="12"/>
        <v>0</v>
      </c>
      <c r="O23" s="137">
        <f t="shared" si="12"/>
        <v>0.78876063445714273</v>
      </c>
      <c r="P23" s="137">
        <f t="shared" si="12"/>
        <v>0.20325968551306972</v>
      </c>
      <c r="Q23" s="138" t="s">
        <v>730</v>
      </c>
      <c r="R23" s="137">
        <f t="shared" ref="R23:V25" si="13">L23*Diametro</f>
        <v>32.78888591305752</v>
      </c>
      <c r="S23" s="137">
        <f t="shared" si="13"/>
        <v>212.99932201867063</v>
      </c>
      <c r="T23" s="137">
        <f t="shared" si="13"/>
        <v>0</v>
      </c>
      <c r="U23" s="137">
        <f t="shared" si="13"/>
        <v>14.854991948916563</v>
      </c>
      <c r="V23" s="137">
        <f t="shared" si="13"/>
        <v>3.8280574104893712</v>
      </c>
      <c r="W23" s="137">
        <f>SUMIFS('BD Materiales'!$S:$S,'BD Materiales'!$A:$A,'Materiales Tanque Base'!$E23,'BD Materiales'!$B:$B,"Lámina")*$F23</f>
        <v>621.70416646653518</v>
      </c>
      <c r="X23" s="137">
        <f>SUMIFS('BD Materiales'!$S:$S,'BD Materiales'!$A:$A,'Materiales Tanque Base'!$E23,'BD Materiales'!$B:$B,"Tubería")*$F23</f>
        <v>5919.3202824277414</v>
      </c>
      <c r="Y23" s="137">
        <f>SUMIFS('BD Materiales'!$S:$S,'BD Materiales'!$A:$A,'Materiales Tanque Base'!$E23,'BD Materiales'!$B:$B,"Accesorio")*$F23</f>
        <v>0</v>
      </c>
      <c r="Z23" s="137">
        <f>SUMIFS('BD Materiales'!$S:$S,'BD Materiales'!$A:$A,'Materiales Tanque Base'!$E23,'BD Materiales'!$B:$B,"Perfil")*$F23</f>
        <v>302.10609954805579</v>
      </c>
      <c r="AA23" s="137">
        <f>SUMIFS('BD Materiales'!$S:$S,'BD Materiales'!$A:$A,'Materiales Tanque Base'!$E23,'BD Materiales'!$B:$B,"Tornillería")*$F23</f>
        <v>111.84092010492566</v>
      </c>
      <c r="AB23" s="139">
        <f t="shared" si="3"/>
        <v>66.907210295803935</v>
      </c>
      <c r="AC23" s="139">
        <f t="shared" si="4"/>
        <v>637.0316113458581</v>
      </c>
      <c r="AD23" s="139">
        <f t="shared" si="5"/>
        <v>0</v>
      </c>
      <c r="AE23" s="139">
        <f t="shared" si="6"/>
        <v>32.512370713209407</v>
      </c>
      <c r="AF23" s="139">
        <f t="shared" si="7"/>
        <v>12.036213306508792</v>
      </c>
    </row>
    <row r="24" spans="1:32">
      <c r="A24" s="618">
        <v>1</v>
      </c>
      <c r="B24" s="618">
        <v>1</v>
      </c>
      <c r="C24" s="618">
        <v>1</v>
      </c>
      <c r="D24" s="619">
        <f t="shared" si="0"/>
        <v>1</v>
      </c>
      <c r="E24" s="146" t="s">
        <v>753</v>
      </c>
      <c r="F24" s="135">
        <f>$D24</f>
        <v>1</v>
      </c>
      <c r="G24" s="140">
        <f>SUMIFS('BD Materiales'!L$3:L$998,'BD Materiales'!$A$3:$A$998,'Materiales Tanque Base'!$E24)*$F24</f>
        <v>169.18798184916596</v>
      </c>
      <c r="H24" s="140">
        <f>SUMIFS('BD Materiales'!M$3:M$998,'BD Materiales'!$A$3:$A$998,'Materiales Tanque Base'!$E24)*$F24</f>
        <v>664.40293999999994</v>
      </c>
      <c r="I24" s="140">
        <f>SUMIFS('BD Materiales'!N$3:N$998,'BD Materiales'!$A$3:$A$998,'Materiales Tanque Base'!$E24)*$F24</f>
        <v>1605.4639999999999</v>
      </c>
      <c r="J24" s="140">
        <f>SUMIFS('BD Materiales'!O$3:O$998,'BD Materiales'!$A$3:$A$998,'Materiales Tanque Base'!$E24)*$F24</f>
        <v>0</v>
      </c>
      <c r="K24" s="140">
        <f>SUMIFS('BD Materiales'!P$3:P$998,'BD Materiales'!$A$3:$A$998,'Materiales Tanque Base'!$E24)*$F24</f>
        <v>114</v>
      </c>
      <c r="L24" s="137">
        <f t="shared" si="12"/>
        <v>0.96678846770951976</v>
      </c>
      <c r="M24" s="137">
        <f t="shared" si="12"/>
        <v>3.7965882285714283</v>
      </c>
      <c r="N24" s="137">
        <f t="shared" si="12"/>
        <v>9.17408</v>
      </c>
      <c r="O24" s="137">
        <f t="shared" si="12"/>
        <v>0</v>
      </c>
      <c r="P24" s="137">
        <f t="shared" si="12"/>
        <v>0.65142857142857147</v>
      </c>
      <c r="Q24" s="138" t="s">
        <v>730</v>
      </c>
      <c r="R24" s="137">
        <f t="shared" si="13"/>
        <v>18.20784947516373</v>
      </c>
      <c r="S24" s="137">
        <f t="shared" si="13"/>
        <v>71.502411637968677</v>
      </c>
      <c r="T24" s="137">
        <f t="shared" si="13"/>
        <v>172.77850666636087</v>
      </c>
      <c r="U24" s="137">
        <f t="shared" si="13"/>
        <v>0</v>
      </c>
      <c r="V24" s="137">
        <f t="shared" si="13"/>
        <v>12.268571428549716</v>
      </c>
      <c r="W24" s="137">
        <f>SUMIFS('BD Materiales'!$S:$S,'BD Materiales'!$A:$A,'Materiales Tanque Base'!$E24,'BD Materiales'!$B:$B,"Lámina")*$F24</f>
        <v>345.23575796751567</v>
      </c>
      <c r="X24" s="137">
        <f>SUMIFS('BD Materiales'!$S:$S,'BD Materiales'!$A:$A,'Materiales Tanque Base'!$E24,'BD Materiales'!$B:$B,"Tubería")*$F24</f>
        <v>1987.8901420021002</v>
      </c>
      <c r="Y24" s="137">
        <f>SUMIFS('BD Materiales'!$S:$S,'BD Materiales'!$A:$A,'Materiales Tanque Base'!$E24,'BD Materiales'!$B:$B,"Accesorio")*$F24</f>
        <v>8709.8951129795023</v>
      </c>
      <c r="Z24" s="137">
        <f>SUMIFS('BD Materiales'!$S:$S,'BD Materiales'!$A:$A,'Materiales Tanque Base'!$E24,'BD Materiales'!$B:$B,"Perfil")*$F24</f>
        <v>0</v>
      </c>
      <c r="AA24" s="137">
        <f>SUMIFS('BD Materiales'!$S:$S,'BD Materiales'!$A:$A,'Materiales Tanque Base'!$E24,'BD Materiales'!$B:$B,"Tornillería")*$F24</f>
        <v>366.3215974776665</v>
      </c>
      <c r="AB24" s="139">
        <f t="shared" si="3"/>
        <v>37.153943476438307</v>
      </c>
      <c r="AC24" s="139">
        <f t="shared" si="4"/>
        <v>213.93484385318072</v>
      </c>
      <c r="AD24" s="139">
        <f t="shared" si="5"/>
        <v>937.35061691899227</v>
      </c>
      <c r="AE24" s="139">
        <f t="shared" si="6"/>
        <v>0</v>
      </c>
      <c r="AF24" s="139">
        <f t="shared" si="7"/>
        <v>39.423181442764815</v>
      </c>
    </row>
    <row r="25" spans="1:32">
      <c r="A25" s="618">
        <v>0</v>
      </c>
      <c r="B25" s="618">
        <v>1</v>
      </c>
      <c r="C25" s="618">
        <v>0</v>
      </c>
      <c r="D25" s="619">
        <f t="shared" si="0"/>
        <v>1</v>
      </c>
      <c r="E25" s="146" t="s">
        <v>754</v>
      </c>
      <c r="F25" s="135">
        <f>$D25</f>
        <v>1</v>
      </c>
      <c r="G25" s="140">
        <f>SUMIFS('BD Materiales'!L$3:L$998,'BD Materiales'!$A$3:$A$998,'Materiales Tanque Base'!$E25)*$F25</f>
        <v>42.357394055361809</v>
      </c>
      <c r="H25" s="140">
        <f>SUMIFS('BD Materiales'!M$3:M$998,'BD Materiales'!$A$3:$A$998,'Materiales Tanque Base'!$E25)*$F25</f>
        <v>4035.3961999999997</v>
      </c>
      <c r="I25" s="140">
        <f>SUMIFS('BD Materiales'!N$3:N$998,'BD Materiales'!$A$3:$A$998,'Materiales Tanque Base'!$E25)*$F25</f>
        <v>13.600000000000001</v>
      </c>
      <c r="J25" s="140">
        <f>SUMIFS('BD Materiales'!O$3:O$998,'BD Materiales'!$A$3:$A$998,'Materiales Tanque Base'!$E25)*$F25</f>
        <v>160.53471118799999</v>
      </c>
      <c r="K25" s="140">
        <f>SUMIFS('BD Materiales'!P$3:P$998,'BD Materiales'!$A$3:$A$998,'Materiales Tanque Base'!$E25)*$F25</f>
        <v>1.7400000000000002</v>
      </c>
      <c r="L25" s="137">
        <f t="shared" si="12"/>
        <v>0.24204225174492461</v>
      </c>
      <c r="M25" s="137">
        <f t="shared" si="12"/>
        <v>23.059406857142854</v>
      </c>
      <c r="N25" s="137">
        <f t="shared" si="12"/>
        <v>7.7714285714285722E-2</v>
      </c>
      <c r="O25" s="137">
        <f t="shared" si="12"/>
        <v>0.91734120678857134</v>
      </c>
      <c r="P25" s="137">
        <f t="shared" si="12"/>
        <v>9.9428571428571439E-3</v>
      </c>
      <c r="Q25" s="138" t="s">
        <v>730</v>
      </c>
      <c r="R25" s="137">
        <f t="shared" si="13"/>
        <v>4.5584624078546785</v>
      </c>
      <c r="S25" s="137">
        <f t="shared" si="13"/>
        <v>434.28549580875512</v>
      </c>
      <c r="T25" s="137">
        <f t="shared" si="13"/>
        <v>1.4636190476164572</v>
      </c>
      <c r="U25" s="137">
        <f t="shared" si="13"/>
        <v>17.276592727820848</v>
      </c>
      <c r="V25" s="137">
        <f t="shared" si="13"/>
        <v>0.18725714285681144</v>
      </c>
      <c r="W25" s="137">
        <f>SUMIFS('BD Materiales'!$S:$S,'BD Materiales'!$A:$A,'Materiales Tanque Base'!$E25,'BD Materiales'!$B:$B,"Lámina")*$F25</f>
        <v>86.432185563088581</v>
      </c>
      <c r="X25" s="137">
        <f>SUMIFS('BD Materiales'!$S:$S,'BD Materiales'!$A:$A,'Materiales Tanque Base'!$E25,'BD Materiales'!$B:$B,"Tubería")*$F25</f>
        <v>12063.314515323165</v>
      </c>
      <c r="Y25" s="137">
        <f>SUMIFS('BD Materiales'!$S:$S,'BD Materiales'!$A:$A,'Materiales Tanque Base'!$E25,'BD Materiales'!$B:$B,"Accesorio")*$F25</f>
        <v>75.754072517078313</v>
      </c>
      <c r="Z25" s="137">
        <f>SUMIFS('BD Materiales'!$S:$S,'BD Materiales'!$A:$A,'Materiales Tanque Base'!$E25,'BD Materiales'!$B:$B,"Perfil")*$F25</f>
        <v>351.35421550079883</v>
      </c>
      <c r="AA25" s="137">
        <f>SUMIFS('BD Materiales'!$S:$S,'BD Materiales'!$A:$A,'Materiales Tanque Base'!$E25,'BD Materiales'!$B:$B,"Tornillería")*$F25</f>
        <v>7.0798738833420858</v>
      </c>
      <c r="AB25" s="139">
        <f t="shared" si="3"/>
        <v>9.301749493915926</v>
      </c>
      <c r="AC25" s="139">
        <f t="shared" si="4"/>
        <v>1298.2424192658143</v>
      </c>
      <c r="AD25" s="139">
        <f t="shared" si="5"/>
        <v>8.1525811375378066</v>
      </c>
      <c r="AE25" s="139">
        <f t="shared" si="6"/>
        <v>37.812406049066659</v>
      </c>
      <c r="AF25" s="139">
        <f t="shared" si="7"/>
        <v>0.76192928458689502</v>
      </c>
    </row>
    <row r="26" spans="1:32">
      <c r="A26" s="618">
        <v>0</v>
      </c>
      <c r="B26" s="618">
        <v>1</v>
      </c>
      <c r="C26" s="618">
        <v>0</v>
      </c>
      <c r="D26" s="619">
        <f t="shared" si="0"/>
        <v>1</v>
      </c>
      <c r="E26" s="134" t="s">
        <v>755</v>
      </c>
      <c r="F26" s="135">
        <f>3*$D26</f>
        <v>3</v>
      </c>
      <c r="G26" s="140">
        <f>SUMIFS('BD Materiales'!L$3:L$998,'BD Materiales'!$A$3:$A$998,'Materiales Tanque Base'!$E26)*$F26</f>
        <v>1709.3483471063305</v>
      </c>
      <c r="H26" s="140">
        <f>SUMIFS('BD Materiales'!M$3:M$998,'BD Materiales'!$A$3:$A$998,'Materiales Tanque Base'!$E26)*$F26</f>
        <v>1115.2697400000002</v>
      </c>
      <c r="I26" s="140">
        <f>SUMIFS('BD Materiales'!N$3:N$998,'BD Materiales'!$A$3:$A$998,'Materiales Tanque Base'!$E26)*$F26</f>
        <v>72</v>
      </c>
      <c r="J26" s="140">
        <f>SUMIFS('BD Materiales'!O$3:O$998,'BD Materiales'!$A$3:$A$998,'Materiales Tanque Base'!$E26)*$F26</f>
        <v>1.7092707749999998</v>
      </c>
      <c r="K26" s="140">
        <f>SUMIFS('BD Materiales'!P$3:P$998,'BD Materiales'!$A$3:$A$998,'Materiales Tanque Base'!$E26)*$F26</f>
        <v>41.444870603399998</v>
      </c>
      <c r="L26" s="137">
        <f>G26/1</f>
        <v>1709.3483471063305</v>
      </c>
      <c r="M26" s="137">
        <f>H26/1</f>
        <v>1115.2697400000002</v>
      </c>
      <c r="N26" s="137">
        <f>I26/1</f>
        <v>72</v>
      </c>
      <c r="O26" s="137">
        <f>J26/1</f>
        <v>1.7092707749999998</v>
      </c>
      <c r="P26" s="137">
        <f>K26/1</f>
        <v>41.444870603399998</v>
      </c>
      <c r="Q26" s="138">
        <v>1</v>
      </c>
      <c r="R26" s="142">
        <f>L26</f>
        <v>1709.3483471063305</v>
      </c>
      <c r="S26" s="142">
        <f>M26</f>
        <v>1115.2697400000002</v>
      </c>
      <c r="T26" s="142">
        <f>N26</f>
        <v>72</v>
      </c>
      <c r="U26" s="142">
        <f>O26</f>
        <v>1.7092707749999998</v>
      </c>
      <c r="V26" s="142">
        <f>P26</f>
        <v>41.444870603399998</v>
      </c>
      <c r="W26" s="137">
        <f>SUMIFS('BD Materiales'!$S:$S,'BD Materiales'!$A:$A,'Materiales Tanque Base'!$E26,'BD Materiales'!$B:$B,"Lámina")*$F26</f>
        <v>3488.0029053711592</v>
      </c>
      <c r="X26" s="137">
        <f>SUMIFS('BD Materiales'!$S:$S,'BD Materiales'!$A:$A,'Materiales Tanque Base'!$E26,'BD Materiales'!$B:$B,"Tubería")*$F26</f>
        <v>3570.3577519705696</v>
      </c>
      <c r="Y26" s="137">
        <f>SUMIFS('BD Materiales'!$S:$S,'BD Materiales'!$A:$A,'Materiales Tanque Base'!$E26,'BD Materiales'!$B:$B,"Accesorio")*$F26</f>
        <v>526.34156594850219</v>
      </c>
      <c r="Z26" s="137">
        <f>SUMIFS('BD Materiales'!$S:$S,'BD Materiales'!$A:$A,'Materiales Tanque Base'!$E26,'BD Materiales'!$B:$B,"Perfil")*$F26</f>
        <v>3.7409946284156606</v>
      </c>
      <c r="AA26" s="137">
        <f>SUMIFS('BD Materiales'!$S:$S,'BD Materiales'!$A:$A,'Materiales Tanque Base'!$E26,'BD Materiales'!$B:$B,"Tornillería")*$F26</f>
        <v>114.73220375186068</v>
      </c>
      <c r="AB26" s="139">
        <f t="shared" si="3"/>
        <v>3488.0029053711592</v>
      </c>
      <c r="AC26" s="139">
        <f t="shared" si="4"/>
        <v>3570.3577519705696</v>
      </c>
      <c r="AD26" s="139">
        <f t="shared" si="5"/>
        <v>526.34156594850219</v>
      </c>
      <c r="AE26" s="139">
        <f t="shared" si="6"/>
        <v>3.7409946284156606</v>
      </c>
      <c r="AF26" s="139">
        <f t="shared" si="7"/>
        <v>114.73220375186068</v>
      </c>
    </row>
    <row r="27" spans="1:32">
      <c r="A27" s="618">
        <v>0</v>
      </c>
      <c r="B27" s="618">
        <v>0</v>
      </c>
      <c r="C27" s="618">
        <v>1</v>
      </c>
      <c r="D27" s="619">
        <f t="shared" si="0"/>
        <v>0</v>
      </c>
      <c r="E27" s="146" t="s">
        <v>756</v>
      </c>
      <c r="F27" s="135">
        <f>$D27</f>
        <v>0</v>
      </c>
      <c r="G27" s="140">
        <f>SUMIFS('BD Materiales'!L$3:L$998,'BD Materiales'!$A$3:$A$998,'Materiales Tanque Base'!$E27)*$F27</f>
        <v>0</v>
      </c>
      <c r="H27" s="140">
        <f>SUMIFS('BD Materiales'!M$3:M$998,'BD Materiales'!$A$3:$A$998,'Materiales Tanque Base'!$E27)*$F27</f>
        <v>0</v>
      </c>
      <c r="I27" s="140">
        <f>SUMIFS('BD Materiales'!N$3:N$998,'BD Materiales'!$A$3:$A$998,'Materiales Tanque Base'!$E27)*$F27</f>
        <v>0</v>
      </c>
      <c r="J27" s="140">
        <f>SUMIFS('BD Materiales'!O$3:O$998,'BD Materiales'!$A$3:$A$998,'Materiales Tanque Base'!$E27)*$F27</f>
        <v>0</v>
      </c>
      <c r="K27" s="140">
        <f>SUMIFS('BD Materiales'!P$3:P$998,'BD Materiales'!$A$3:$A$998,'Materiales Tanque Base'!$E27)*$F27</f>
        <v>0</v>
      </c>
      <c r="L27" s="137">
        <f t="shared" ref="L27:P28" si="14">G27/Diametro_TanqueBase</f>
        <v>0</v>
      </c>
      <c r="M27" s="137">
        <f t="shared" si="14"/>
        <v>0</v>
      </c>
      <c r="N27" s="137">
        <f t="shared" si="14"/>
        <v>0</v>
      </c>
      <c r="O27" s="137">
        <f t="shared" si="14"/>
        <v>0</v>
      </c>
      <c r="P27" s="137">
        <f t="shared" si="14"/>
        <v>0</v>
      </c>
      <c r="Q27" s="138" t="s">
        <v>730</v>
      </c>
      <c r="R27" s="137">
        <f t="shared" ref="R27:V28" si="15">L27*Diametro</f>
        <v>0</v>
      </c>
      <c r="S27" s="137">
        <f t="shared" si="15"/>
        <v>0</v>
      </c>
      <c r="T27" s="137">
        <f t="shared" si="15"/>
        <v>0</v>
      </c>
      <c r="U27" s="137">
        <f t="shared" si="15"/>
        <v>0</v>
      </c>
      <c r="V27" s="137">
        <f t="shared" si="15"/>
        <v>0</v>
      </c>
      <c r="W27" s="137">
        <f>SUMIFS('BD Materiales'!$S:$S,'BD Materiales'!$A:$A,'Materiales Tanque Base'!$E27,'BD Materiales'!$B:$B,"Lámina")*$F27</f>
        <v>0</v>
      </c>
      <c r="X27" s="137">
        <f>SUMIFS('BD Materiales'!$S:$S,'BD Materiales'!$A:$A,'Materiales Tanque Base'!$E27,'BD Materiales'!$B:$B,"Tubería")*$F27</f>
        <v>0</v>
      </c>
      <c r="Y27" s="137">
        <f>SUMIFS('BD Materiales'!$S:$S,'BD Materiales'!$A:$A,'Materiales Tanque Base'!$E27,'BD Materiales'!$B:$B,"Accesorio")*$F27</f>
        <v>0</v>
      </c>
      <c r="Z27" s="137">
        <f>SUMIFS('BD Materiales'!$S:$S,'BD Materiales'!$A:$A,'Materiales Tanque Base'!$E27,'BD Materiales'!$B:$B,"Perfil")*$F27</f>
        <v>0</v>
      </c>
      <c r="AA27" s="137">
        <f>SUMIFS('BD Materiales'!$S:$S,'BD Materiales'!$A:$A,'Materiales Tanque Base'!$E27,'BD Materiales'!$B:$B,"Tornillería")*$F27</f>
        <v>0</v>
      </c>
      <c r="AB27" s="139">
        <f t="shared" si="3"/>
        <v>0</v>
      </c>
      <c r="AC27" s="139">
        <f t="shared" si="4"/>
        <v>0</v>
      </c>
      <c r="AD27" s="139">
        <f t="shared" si="5"/>
        <v>0</v>
      </c>
      <c r="AE27" s="139">
        <f t="shared" si="6"/>
        <v>0</v>
      </c>
      <c r="AF27" s="139">
        <f t="shared" si="7"/>
        <v>0</v>
      </c>
    </row>
    <row r="28" spans="1:32">
      <c r="A28" s="618">
        <v>0</v>
      </c>
      <c r="B28" s="618">
        <v>0</v>
      </c>
      <c r="C28" s="618">
        <v>1</v>
      </c>
      <c r="D28" s="619">
        <f t="shared" si="0"/>
        <v>0</v>
      </c>
      <c r="E28" s="146" t="s">
        <v>757</v>
      </c>
      <c r="F28" s="135">
        <f>$D28</f>
        <v>0</v>
      </c>
      <c r="G28" s="140">
        <f>SUMIFS('BD Materiales'!L$3:L$998,'BD Materiales'!$A$3:$A$998,'Materiales Tanque Base'!$E28)*$F28</f>
        <v>0</v>
      </c>
      <c r="H28" s="140">
        <f>SUMIFS('BD Materiales'!M$3:M$998,'BD Materiales'!$A$3:$A$998,'Materiales Tanque Base'!$E28)*$F28</f>
        <v>0</v>
      </c>
      <c r="I28" s="140">
        <f>SUMIFS('BD Materiales'!N$3:N$998,'BD Materiales'!$A$3:$A$998,'Materiales Tanque Base'!$E28)*$F28</f>
        <v>0</v>
      </c>
      <c r="J28" s="140">
        <f>SUMIFS('BD Materiales'!O$3:O$998,'BD Materiales'!$A$3:$A$998,'Materiales Tanque Base'!$E28)*$F28</f>
        <v>0</v>
      </c>
      <c r="K28" s="140">
        <f>SUMIFS('BD Materiales'!P$3:P$998,'BD Materiales'!$A$3:$A$998,'Materiales Tanque Base'!$E28)*$F28</f>
        <v>0</v>
      </c>
      <c r="L28" s="137">
        <f t="shared" si="14"/>
        <v>0</v>
      </c>
      <c r="M28" s="137">
        <f t="shared" si="14"/>
        <v>0</v>
      </c>
      <c r="N28" s="137">
        <f t="shared" si="14"/>
        <v>0</v>
      </c>
      <c r="O28" s="137">
        <f t="shared" si="14"/>
        <v>0</v>
      </c>
      <c r="P28" s="137">
        <f t="shared" si="14"/>
        <v>0</v>
      </c>
      <c r="Q28" s="138" t="s">
        <v>730</v>
      </c>
      <c r="R28" s="137">
        <f t="shared" si="15"/>
        <v>0</v>
      </c>
      <c r="S28" s="137">
        <f t="shared" si="15"/>
        <v>0</v>
      </c>
      <c r="T28" s="137">
        <f t="shared" si="15"/>
        <v>0</v>
      </c>
      <c r="U28" s="137">
        <f t="shared" si="15"/>
        <v>0</v>
      </c>
      <c r="V28" s="137">
        <f t="shared" si="15"/>
        <v>0</v>
      </c>
      <c r="W28" s="137">
        <f>SUMIFS('BD Materiales'!$S:$S,'BD Materiales'!$A:$A,'Materiales Tanque Base'!$E28,'BD Materiales'!$B:$B,"Lámina")*$F28</f>
        <v>0</v>
      </c>
      <c r="X28" s="137">
        <f>SUMIFS('BD Materiales'!$S:$S,'BD Materiales'!$A:$A,'Materiales Tanque Base'!$E28,'BD Materiales'!$B:$B,"Tubería")*$F28</f>
        <v>0</v>
      </c>
      <c r="Y28" s="137">
        <f>SUMIFS('BD Materiales'!$S:$S,'BD Materiales'!$A:$A,'Materiales Tanque Base'!$E28,'BD Materiales'!$B:$B,"Accesorio")*$F28</f>
        <v>0</v>
      </c>
      <c r="Z28" s="137">
        <f>SUMIFS('BD Materiales'!$S:$S,'BD Materiales'!$A:$A,'Materiales Tanque Base'!$E28,'BD Materiales'!$B:$B,"Perfil")*$F28</f>
        <v>0</v>
      </c>
      <c r="AA28" s="137">
        <f>SUMIFS('BD Materiales'!$S:$S,'BD Materiales'!$A:$A,'Materiales Tanque Base'!$E28,'BD Materiales'!$B:$B,"Tornillería")*$F28</f>
        <v>0</v>
      </c>
      <c r="AB28" s="139">
        <f t="shared" si="3"/>
        <v>0</v>
      </c>
      <c r="AC28" s="139">
        <f t="shared" si="4"/>
        <v>0</v>
      </c>
      <c r="AD28" s="139">
        <f t="shared" si="5"/>
        <v>0</v>
      </c>
      <c r="AE28" s="139">
        <f t="shared" si="6"/>
        <v>0</v>
      </c>
      <c r="AF28" s="139">
        <f t="shared" si="7"/>
        <v>0</v>
      </c>
    </row>
    <row r="29" spans="1:32">
      <c r="E29" s="148" t="s">
        <v>758</v>
      </c>
      <c r="F29" s="149"/>
      <c r="G29" s="78"/>
      <c r="H29" s="78"/>
      <c r="I29" s="78"/>
      <c r="J29" s="78"/>
      <c r="K29" s="78"/>
      <c r="L29" s="77"/>
      <c r="M29" s="77"/>
      <c r="N29" s="77"/>
      <c r="O29" s="77"/>
      <c r="P29" s="77"/>
      <c r="Q29" s="77"/>
      <c r="R29" s="150">
        <f>SUM(R3:R28)</f>
        <v>4930.0034905214434</v>
      </c>
      <c r="S29" s="150">
        <f>SUM(S3:S28)</f>
        <v>3018.9721246466988</v>
      </c>
      <c r="T29" s="150">
        <f>SUM(T3:T28)</f>
        <v>341.44279777553396</v>
      </c>
      <c r="U29" s="150">
        <f>SUM(U3:U28)</f>
        <v>5007.3727772018192</v>
      </c>
      <c r="V29" s="150">
        <f>SUM(V3:V28)</f>
        <v>476.79918425708928</v>
      </c>
      <c r="W29" s="77"/>
      <c r="X29" s="77"/>
      <c r="Y29" s="77"/>
      <c r="Z29" s="77"/>
      <c r="AA29" s="77"/>
      <c r="AB29" s="150">
        <f>SUM(AB3:AB28)</f>
        <v>10063.980094311126</v>
      </c>
      <c r="AC29" s="150">
        <f>SUM(AC3:AC28)</f>
        <v>9559.0660349508325</v>
      </c>
      <c r="AD29" s="150">
        <f>SUM(AD3:AD28)</f>
        <v>1947.1211576850988</v>
      </c>
      <c r="AE29" s="150">
        <f>SUM(AE3:AE28)</f>
        <v>10982.246960171351</v>
      </c>
      <c r="AF29" s="150">
        <f>SUM(AF3:AF28)</f>
        <v>1487.1239045263826</v>
      </c>
    </row>
    <row r="30" spans="1:32">
      <c r="E30" s="148" t="s">
        <v>759</v>
      </c>
      <c r="F30" s="149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150">
        <f>R29*1.05</f>
        <v>5176.5036650475158</v>
      </c>
      <c r="S30" s="150">
        <f>S29*1.05</f>
        <v>3169.9207308790337</v>
      </c>
      <c r="T30" s="150">
        <f>T29*1.05</f>
        <v>358.51493766431065</v>
      </c>
      <c r="U30" s="150">
        <f>U29*1.05</f>
        <v>5257.7414160619101</v>
      </c>
      <c r="V30" s="150">
        <f>V29*1.05</f>
        <v>500.63914346994375</v>
      </c>
      <c r="AB30" s="150">
        <f>AB29*1.05</f>
        <v>10567.179099026682</v>
      </c>
      <c r="AC30" s="150">
        <f>AC29*1.05</f>
        <v>10037.019336698375</v>
      </c>
      <c r="AD30" s="150">
        <f>AD29*1.05</f>
        <v>2044.4772155693538</v>
      </c>
      <c r="AE30" s="150">
        <f>AE29*1.05</f>
        <v>11531.359308179919</v>
      </c>
      <c r="AF30" s="150">
        <f>AF29*1.05</f>
        <v>1561.4800997527018</v>
      </c>
    </row>
    <row r="31" spans="1:32">
      <c r="AA31" s="77" t="s">
        <v>760</v>
      </c>
      <c r="AB31" s="73">
        <f>AB30/R30</f>
        <v>2.0413738273533482</v>
      </c>
      <c r="AC31" s="73">
        <f>AC30/S30</f>
        <v>3.1663313340693735</v>
      </c>
      <c r="AD31" s="73">
        <f>AD30/T30</f>
        <v>5.7026277032943744</v>
      </c>
      <c r="AE31" s="73">
        <f>AE30/U30</f>
        <v>2.1932153743721003</v>
      </c>
      <c r="AF31" s="73">
        <f>AF30/V30</f>
        <v>3.1189732567254729</v>
      </c>
    </row>
    <row r="32" spans="1:32" ht="15" customHeight="1">
      <c r="N32" s="843" t="s">
        <v>761</v>
      </c>
      <c r="O32" s="843"/>
      <c r="P32" s="843"/>
      <c r="Q32" s="844" t="s">
        <v>762</v>
      </c>
      <c r="R32" s="845" t="s">
        <v>763</v>
      </c>
      <c r="S32" s="845"/>
      <c r="T32" s="845"/>
      <c r="U32" s="845"/>
      <c r="V32" s="845"/>
    </row>
    <row r="33" spans="5:22">
      <c r="N33" s="152" t="s">
        <v>764</v>
      </c>
      <c r="O33" s="152" t="s">
        <v>765</v>
      </c>
      <c r="P33" s="152" t="s">
        <v>766</v>
      </c>
      <c r="Q33" s="844"/>
      <c r="R33" s="151" t="s">
        <v>767</v>
      </c>
      <c r="S33" s="151" t="s">
        <v>768</v>
      </c>
      <c r="T33" s="151" t="s">
        <v>769</v>
      </c>
      <c r="U33" s="151" t="s">
        <v>770</v>
      </c>
      <c r="V33" s="151" t="s">
        <v>771</v>
      </c>
    </row>
    <row r="34" spans="5:22">
      <c r="N34" s="153">
        <f ca="1">INDIRECT("'Tanque T "&amp;TipoTecho&amp;"'!"&amp;IF(TipoTecho="Flotante","H63","G63"))</f>
        <v>3004.7203876809781</v>
      </c>
      <c r="O34" s="153">
        <f ca="1">INDIRECT("'Tanque T "&amp;TipoTecho&amp;"'!H47")</f>
        <v>5283.6482073408533</v>
      </c>
      <c r="P34" s="153">
        <f ca="1">IF(TipoTecho="Cónico",INDIRECT("'Tanque T "&amp;TipoTecho&amp;"'!B64"),0)</f>
        <v>0</v>
      </c>
      <c r="Q34" s="153">
        <f>R30</f>
        <v>5176.5036650475158</v>
      </c>
      <c r="R34" s="153">
        <f ca="1">SUM(N34:Q34)</f>
        <v>13464.872260069347</v>
      </c>
      <c r="S34" s="153">
        <f>S30</f>
        <v>3169.9207308790337</v>
      </c>
      <c r="T34" s="153">
        <f>T30</f>
        <v>358.51493766431065</v>
      </c>
      <c r="U34" s="153">
        <f>U30</f>
        <v>5257.7414160619101</v>
      </c>
      <c r="V34" s="153">
        <f>V30</f>
        <v>500.63914346994375</v>
      </c>
    </row>
    <row r="38" spans="5:22">
      <c r="E38" s="80"/>
      <c r="F38" s="154"/>
    </row>
    <row r="39" spans="5:22">
      <c r="J39" s="155"/>
    </row>
  </sheetData>
  <sheetProtection algorithmName="SHA-512" hashValue="B1sj5dlLkoErFK7ZNZWzLCztTZh9l247oGnv5a85tvBxZmkP0bVWIWOuZ0gq4F7joXPf2MhlM+szU+kcveLfHg==" saltValue="1cpEViYNhCsQSeowzZDisA==" spinCount="100000" sheet="1" objects="1" scenarios="1"/>
  <autoFilter ref="E2:Q37" xr:uid="{00000000-0009-0000-0000-000007000000}"/>
  <mergeCells count="8">
    <mergeCell ref="G1:K1"/>
    <mergeCell ref="L1:P1"/>
    <mergeCell ref="R1:V1"/>
    <mergeCell ref="W1:AA1"/>
    <mergeCell ref="AB1:AF1"/>
    <mergeCell ref="N32:P32"/>
    <mergeCell ref="Q32:Q33"/>
    <mergeCell ref="R32:V32"/>
  </mergeCells>
  <pageMargins left="0.7" right="0.7" top="0.75" bottom="0.75" header="0.51180555555555496" footer="0.51180555555555496"/>
  <pageSetup firstPageNumber="0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7"/>
  <dimension ref="A2:T626"/>
  <sheetViews>
    <sheetView showGridLines="0" showRowColHeaders="0" zoomScaleNormal="100" workbookViewId="0">
      <pane xSplit="3" ySplit="2" topLeftCell="L48" activePane="bottomRight" state="frozen"/>
      <selection pane="topRight" activeCell="N22" sqref="N22"/>
      <selection pane="bottomLeft" activeCell="N22" sqref="N22"/>
      <selection pane="bottomRight" activeCell="N22" sqref="N22"/>
    </sheetView>
  </sheetViews>
  <sheetFormatPr baseColWidth="10" defaultColWidth="9.140625" defaultRowHeight="15"/>
  <cols>
    <col min="1" max="1" width="43.28515625" customWidth="1"/>
    <col min="2" max="2" width="20.42578125" customWidth="1"/>
    <col min="3" max="3" width="34" customWidth="1"/>
    <col min="4" max="4" width="12.85546875" style="55" customWidth="1"/>
    <col min="5" max="7" width="10.42578125" customWidth="1"/>
    <col min="8" max="8" width="15.7109375" customWidth="1"/>
    <col min="9" max="9" width="14.28515625" customWidth="1"/>
    <col min="10" max="13" width="10.42578125" customWidth="1"/>
    <col min="14" max="14" width="12.28515625" customWidth="1"/>
    <col min="15" max="15" width="10.42578125" customWidth="1"/>
    <col min="16" max="16" width="12.28515625" customWidth="1"/>
    <col min="17" max="17" width="17.42578125" customWidth="1"/>
    <col min="18" max="19" width="17.85546875" customWidth="1"/>
    <col min="20" max="1025" width="10.42578125" customWidth="1"/>
  </cols>
  <sheetData>
    <row r="2" spans="1:20" ht="45">
      <c r="A2" s="620" t="s">
        <v>715</v>
      </c>
      <c r="B2" s="620" t="s">
        <v>772</v>
      </c>
      <c r="C2" s="620" t="s">
        <v>773</v>
      </c>
      <c r="D2" s="620" t="s">
        <v>474</v>
      </c>
      <c r="E2" s="620" t="s">
        <v>774</v>
      </c>
      <c r="F2" s="621" t="s">
        <v>775</v>
      </c>
      <c r="G2" s="621" t="s">
        <v>776</v>
      </c>
      <c r="H2" s="621" t="s">
        <v>777</v>
      </c>
      <c r="I2" s="621" t="s">
        <v>778</v>
      </c>
      <c r="J2" s="621" t="s">
        <v>779</v>
      </c>
      <c r="K2" s="622" t="s">
        <v>780</v>
      </c>
      <c r="L2" s="622" t="s">
        <v>781</v>
      </c>
      <c r="M2" s="622" t="s">
        <v>782</v>
      </c>
      <c r="N2" s="622" t="s">
        <v>783</v>
      </c>
      <c r="O2" s="622" t="s">
        <v>784</v>
      </c>
      <c r="P2" s="622" t="s">
        <v>785</v>
      </c>
      <c r="Q2" s="623" t="s">
        <v>786</v>
      </c>
      <c r="R2" s="624" t="s">
        <v>787</v>
      </c>
      <c r="S2" s="624" t="s">
        <v>788</v>
      </c>
      <c r="T2" s="624" t="s">
        <v>789</v>
      </c>
    </row>
    <row r="3" spans="1:20">
      <c r="A3" s="618" t="s">
        <v>731</v>
      </c>
      <c r="B3" s="618" t="s">
        <v>790</v>
      </c>
      <c r="C3" s="618" t="s">
        <v>791</v>
      </c>
      <c r="D3" s="631" t="s">
        <v>497</v>
      </c>
      <c r="E3" s="631" t="s">
        <v>792</v>
      </c>
      <c r="F3" s="632">
        <v>0.1</v>
      </c>
      <c r="G3" s="632">
        <v>0.378</v>
      </c>
      <c r="H3" s="632"/>
      <c r="I3" s="625">
        <f>3/8*0.0254*7850</f>
        <v>74.771249999999995</v>
      </c>
      <c r="J3" s="627">
        <v>4</v>
      </c>
      <c r="K3" s="140">
        <f t="shared" ref="K3:K66" si="0">PRODUCT(F3:J3)</f>
        <v>11.305413</v>
      </c>
      <c r="L3" s="140">
        <f t="shared" ref="L3:L66" si="1">IF(B3="Lámina",K3,0)</f>
        <v>11.305413</v>
      </c>
      <c r="M3" s="140">
        <f t="shared" ref="M3:M66" si="2">IF(B3="Tubería",K3,0)</f>
        <v>0</v>
      </c>
      <c r="N3" s="140">
        <f t="shared" ref="N3:N66" si="3">IF(B3="Accesorio",K3,0)</f>
        <v>0</v>
      </c>
      <c r="O3" s="140">
        <f t="shared" ref="O3:O66" si="4">IF(B3="Perfil",K3,0)</f>
        <v>0</v>
      </c>
      <c r="P3" s="140">
        <f t="shared" ref="P3:P66" si="5">IF(B3="Tornillería",K3,0)</f>
        <v>0</v>
      </c>
      <c r="Q3" s="156">
        <f t="shared" ref="Q3:Q66" si="6">I3*R3</f>
        <v>152.57413018226063</v>
      </c>
      <c r="R3" s="125">
        <v>2.0405453992311302</v>
      </c>
      <c r="S3" s="73">
        <f t="shared" ref="S3:S66" si="7">R3*K3</f>
        <v>23.069208483557809</v>
      </c>
      <c r="T3" t="s">
        <v>793</v>
      </c>
    </row>
    <row r="4" spans="1:20">
      <c r="A4" s="618" t="s">
        <v>731</v>
      </c>
      <c r="B4" s="618" t="s">
        <v>794</v>
      </c>
      <c r="C4" s="618" t="s">
        <v>795</v>
      </c>
      <c r="D4" s="631" t="s">
        <v>515</v>
      </c>
      <c r="E4" s="633" t="s">
        <v>792</v>
      </c>
      <c r="F4" s="629"/>
      <c r="G4" s="629">
        <v>0.128</v>
      </c>
      <c r="H4" s="629"/>
      <c r="I4" s="626">
        <f>6*0.0254*7850*5*0.0254/16</f>
        <v>9.4959487500000002</v>
      </c>
      <c r="J4" s="628">
        <v>2</v>
      </c>
      <c r="K4" s="140">
        <f t="shared" si="0"/>
        <v>2.43096288</v>
      </c>
      <c r="L4" s="140">
        <f t="shared" si="1"/>
        <v>0</v>
      </c>
      <c r="M4" s="140">
        <f t="shared" si="2"/>
        <v>0</v>
      </c>
      <c r="N4" s="140">
        <f t="shared" si="3"/>
        <v>0</v>
      </c>
      <c r="O4" s="140">
        <f t="shared" si="4"/>
        <v>2.43096288</v>
      </c>
      <c r="P4" s="140">
        <f t="shared" si="5"/>
        <v>0</v>
      </c>
      <c r="Q4" s="156">
        <f t="shared" si="6"/>
        <v>20.783303491198115</v>
      </c>
      <c r="R4" s="125">
        <v>2.1886495007882298</v>
      </c>
      <c r="S4" s="73">
        <f t="shared" si="7"/>
        <v>5.3205256937467178</v>
      </c>
      <c r="T4" t="s">
        <v>793</v>
      </c>
    </row>
    <row r="5" spans="1:20">
      <c r="A5" s="618" t="s">
        <v>731</v>
      </c>
      <c r="B5" s="618" t="s">
        <v>790</v>
      </c>
      <c r="C5" s="618" t="s">
        <v>796</v>
      </c>
      <c r="D5" s="631" t="s">
        <v>497</v>
      </c>
      <c r="E5" s="633" t="s">
        <v>792</v>
      </c>
      <c r="F5" s="629"/>
      <c r="G5" s="629"/>
      <c r="H5" s="629"/>
      <c r="I5" s="626">
        <v>5.6000000000000001E-2</v>
      </c>
      <c r="J5" s="628">
        <v>1</v>
      </c>
      <c r="K5" s="140">
        <f t="shared" si="0"/>
        <v>5.6000000000000001E-2</v>
      </c>
      <c r="L5" s="140">
        <f t="shared" si="1"/>
        <v>5.6000000000000001E-2</v>
      </c>
      <c r="M5" s="140">
        <f t="shared" si="2"/>
        <v>0</v>
      </c>
      <c r="N5" s="140">
        <f t="shared" si="3"/>
        <v>0</v>
      </c>
      <c r="O5" s="140">
        <f t="shared" si="4"/>
        <v>0</v>
      </c>
      <c r="P5" s="140">
        <f t="shared" si="5"/>
        <v>0</v>
      </c>
      <c r="Q5" s="156">
        <f t="shared" si="6"/>
        <v>0.1142705423569433</v>
      </c>
      <c r="R5" s="125">
        <v>2.0405453992311302</v>
      </c>
      <c r="S5" s="73">
        <f t="shared" si="7"/>
        <v>0.1142705423569433</v>
      </c>
      <c r="T5" t="s">
        <v>793</v>
      </c>
    </row>
    <row r="6" spans="1:20">
      <c r="A6" s="618" t="s">
        <v>731</v>
      </c>
      <c r="B6" s="618" t="s">
        <v>797</v>
      </c>
      <c r="C6" s="618" t="s">
        <v>798</v>
      </c>
      <c r="D6" s="631" t="s">
        <v>513</v>
      </c>
      <c r="E6" s="631" t="s">
        <v>799</v>
      </c>
      <c r="F6" s="629"/>
      <c r="G6" s="629">
        <f>6*0.0254</f>
        <v>0.15239999999999998</v>
      </c>
      <c r="H6" s="629"/>
      <c r="I6" s="626">
        <v>0.33</v>
      </c>
      <c r="J6" s="628">
        <v>4</v>
      </c>
      <c r="K6" s="140">
        <f t="shared" si="0"/>
        <v>0.20116799999999999</v>
      </c>
      <c r="L6" s="140">
        <f t="shared" si="1"/>
        <v>0</v>
      </c>
      <c r="M6" s="140">
        <f t="shared" si="2"/>
        <v>0</v>
      </c>
      <c r="N6" s="140">
        <f t="shared" si="3"/>
        <v>0</v>
      </c>
      <c r="O6" s="140">
        <f t="shared" si="4"/>
        <v>0</v>
      </c>
      <c r="P6" s="140">
        <f t="shared" si="5"/>
        <v>0.20116799999999999</v>
      </c>
      <c r="Q6" s="156">
        <f t="shared" si="6"/>
        <v>1.0604046242774556</v>
      </c>
      <c r="R6" s="125">
        <v>3.2133473462953202</v>
      </c>
      <c r="S6" s="73">
        <f t="shared" si="7"/>
        <v>0.64642265895953688</v>
      </c>
      <c r="T6" t="s">
        <v>800</v>
      </c>
    </row>
    <row r="7" spans="1:20">
      <c r="A7" s="618" t="s">
        <v>731</v>
      </c>
      <c r="B7" s="618" t="s">
        <v>797</v>
      </c>
      <c r="C7" s="618" t="s">
        <v>801</v>
      </c>
      <c r="D7" s="631" t="s">
        <v>513</v>
      </c>
      <c r="E7" s="631" t="s">
        <v>792</v>
      </c>
      <c r="F7" s="629"/>
      <c r="G7" s="629"/>
      <c r="H7" s="629"/>
      <c r="I7" s="626">
        <v>0.1</v>
      </c>
      <c r="J7" s="628">
        <v>8</v>
      </c>
      <c r="K7" s="140">
        <f t="shared" si="0"/>
        <v>0.8</v>
      </c>
      <c r="L7" s="140">
        <f t="shared" si="1"/>
        <v>0</v>
      </c>
      <c r="M7" s="140">
        <f t="shared" si="2"/>
        <v>0</v>
      </c>
      <c r="N7" s="140">
        <f t="shared" si="3"/>
        <v>0</v>
      </c>
      <c r="O7" s="140">
        <f t="shared" si="4"/>
        <v>0</v>
      </c>
      <c r="P7" s="140">
        <f t="shared" si="5"/>
        <v>0.8</v>
      </c>
      <c r="Q7" s="156">
        <f t="shared" si="6"/>
        <v>0.32133473462953205</v>
      </c>
      <c r="R7" s="125">
        <v>3.2133473462953202</v>
      </c>
      <c r="S7" s="73">
        <f t="shared" si="7"/>
        <v>2.5706778770362564</v>
      </c>
      <c r="T7" t="s">
        <v>800</v>
      </c>
    </row>
    <row r="8" spans="1:20">
      <c r="A8" s="618" t="s">
        <v>731</v>
      </c>
      <c r="B8" s="618" t="s">
        <v>794</v>
      </c>
      <c r="C8" s="618" t="s">
        <v>802</v>
      </c>
      <c r="D8" s="631" t="s">
        <v>515</v>
      </c>
      <c r="E8" s="633" t="s">
        <v>792</v>
      </c>
      <c r="F8" s="629"/>
      <c r="G8" s="629">
        <v>0.28199999999999997</v>
      </c>
      <c r="H8" s="629"/>
      <c r="I8" s="626">
        <f>5*0.0254*7850*0.25*0.0254</f>
        <v>6.3306325000000001</v>
      </c>
      <c r="J8" s="628">
        <v>4</v>
      </c>
      <c r="K8" s="140">
        <f t="shared" si="0"/>
        <v>7.1409534599999995</v>
      </c>
      <c r="L8" s="140">
        <f t="shared" si="1"/>
        <v>0</v>
      </c>
      <c r="M8" s="140">
        <f t="shared" si="2"/>
        <v>0</v>
      </c>
      <c r="N8" s="140">
        <f t="shared" si="3"/>
        <v>0</v>
      </c>
      <c r="O8" s="140">
        <f t="shared" si="4"/>
        <v>7.1409534599999995</v>
      </c>
      <c r="P8" s="140">
        <f t="shared" si="5"/>
        <v>0</v>
      </c>
      <c r="Q8" s="156">
        <f t="shared" si="6"/>
        <v>13.855535660798743</v>
      </c>
      <c r="R8" s="125">
        <v>2.1886495007882298</v>
      </c>
      <c r="S8" s="73">
        <f t="shared" si="7"/>
        <v>15.629044225380982</v>
      </c>
      <c r="T8" t="s">
        <v>793</v>
      </c>
    </row>
    <row r="9" spans="1:20">
      <c r="A9" s="618" t="s">
        <v>731</v>
      </c>
      <c r="B9" s="618" t="s">
        <v>794</v>
      </c>
      <c r="C9" s="618" t="s">
        <v>803</v>
      </c>
      <c r="D9" s="631" t="s">
        <v>515</v>
      </c>
      <c r="E9" s="633" t="s">
        <v>792</v>
      </c>
      <c r="F9" s="629"/>
      <c r="G9" s="629">
        <v>0.91</v>
      </c>
      <c r="H9" s="629"/>
      <c r="I9" s="626">
        <f>8*0.0254*7850*5*0.0254/16</f>
        <v>12.661264999999998</v>
      </c>
      <c r="J9" s="628">
        <v>6</v>
      </c>
      <c r="K9" s="140">
        <f t="shared" si="0"/>
        <v>69.130506899999986</v>
      </c>
      <c r="L9" s="140">
        <f t="shared" si="1"/>
        <v>0</v>
      </c>
      <c r="M9" s="140">
        <f t="shared" si="2"/>
        <v>0</v>
      </c>
      <c r="N9" s="140">
        <f t="shared" si="3"/>
        <v>0</v>
      </c>
      <c r="O9" s="140">
        <f t="shared" si="4"/>
        <v>69.130506899999986</v>
      </c>
      <c r="P9" s="140">
        <f t="shared" si="5"/>
        <v>0</v>
      </c>
      <c r="Q9" s="156">
        <f t="shared" si="6"/>
        <v>27.711071321597483</v>
      </c>
      <c r="R9" s="125">
        <v>2.1886495007882298</v>
      </c>
      <c r="S9" s="73">
        <f t="shared" si="7"/>
        <v>151.30244941592224</v>
      </c>
      <c r="T9" t="s">
        <v>793</v>
      </c>
    </row>
    <row r="10" spans="1:20">
      <c r="A10" s="618" t="s">
        <v>731</v>
      </c>
      <c r="B10" s="618" t="s">
        <v>794</v>
      </c>
      <c r="C10" s="618" t="s">
        <v>804</v>
      </c>
      <c r="D10" s="631" t="s">
        <v>515</v>
      </c>
      <c r="E10" s="633" t="s">
        <v>792</v>
      </c>
      <c r="F10" s="629"/>
      <c r="G10" s="629">
        <v>0.83899999999999997</v>
      </c>
      <c r="H10" s="629"/>
      <c r="I10" s="626">
        <f>6*0.0254*7850*5*0.0254/16</f>
        <v>9.4959487500000002</v>
      </c>
      <c r="J10" s="628">
        <v>6</v>
      </c>
      <c r="K10" s="140">
        <f t="shared" si="0"/>
        <v>47.802606007499996</v>
      </c>
      <c r="L10" s="140">
        <f t="shared" si="1"/>
        <v>0</v>
      </c>
      <c r="M10" s="140">
        <f t="shared" si="2"/>
        <v>0</v>
      </c>
      <c r="N10" s="140">
        <f t="shared" si="3"/>
        <v>0</v>
      </c>
      <c r="O10" s="140">
        <f t="shared" si="4"/>
        <v>47.802606007499996</v>
      </c>
      <c r="P10" s="140">
        <f t="shared" si="5"/>
        <v>0</v>
      </c>
      <c r="Q10" s="156">
        <f t="shared" si="6"/>
        <v>20.783303491198115</v>
      </c>
      <c r="R10" s="125">
        <v>2.1886495007882298</v>
      </c>
      <c r="S10" s="73">
        <f t="shared" si="7"/>
        <v>104.6231497746913</v>
      </c>
      <c r="T10" t="s">
        <v>793</v>
      </c>
    </row>
    <row r="11" spans="1:20">
      <c r="A11" s="618" t="s">
        <v>731</v>
      </c>
      <c r="B11" s="618" t="s">
        <v>797</v>
      </c>
      <c r="C11" s="618" t="s">
        <v>805</v>
      </c>
      <c r="D11" s="631" t="s">
        <v>513</v>
      </c>
      <c r="E11" s="631" t="s">
        <v>799</v>
      </c>
      <c r="F11" s="629"/>
      <c r="G11" s="629"/>
      <c r="H11" s="629"/>
      <c r="I11" s="626">
        <v>3.5000000000000003E-2</v>
      </c>
      <c r="J11" s="628">
        <v>284</v>
      </c>
      <c r="K11" s="140">
        <f t="shared" si="0"/>
        <v>9.9400000000000013</v>
      </c>
      <c r="L11" s="140">
        <f t="shared" si="1"/>
        <v>0</v>
      </c>
      <c r="M11" s="140">
        <f t="shared" si="2"/>
        <v>0</v>
      </c>
      <c r="N11" s="140">
        <f t="shared" si="3"/>
        <v>0</v>
      </c>
      <c r="O11" s="140">
        <f t="shared" si="4"/>
        <v>0</v>
      </c>
      <c r="P11" s="140">
        <f t="shared" si="5"/>
        <v>9.9400000000000013</v>
      </c>
      <c r="Q11" s="156">
        <f t="shared" si="6"/>
        <v>0.11246715712033621</v>
      </c>
      <c r="R11" s="125">
        <v>3.2133473462953202</v>
      </c>
      <c r="S11" s="73">
        <f t="shared" si="7"/>
        <v>31.940672622175487</v>
      </c>
      <c r="T11" t="s">
        <v>800</v>
      </c>
    </row>
    <row r="12" spans="1:20">
      <c r="A12" s="618" t="s">
        <v>731</v>
      </c>
      <c r="B12" s="618" t="s">
        <v>797</v>
      </c>
      <c r="C12" s="618" t="s">
        <v>806</v>
      </c>
      <c r="D12" s="631" t="s">
        <v>513</v>
      </c>
      <c r="E12" s="633" t="s">
        <v>799</v>
      </c>
      <c r="F12" s="629"/>
      <c r="G12" s="629"/>
      <c r="H12" s="629"/>
      <c r="I12" s="626">
        <v>0.09</v>
      </c>
      <c r="J12" s="628">
        <v>284</v>
      </c>
      <c r="K12" s="140">
        <f t="shared" si="0"/>
        <v>25.56</v>
      </c>
      <c r="L12" s="140">
        <f t="shared" si="1"/>
        <v>0</v>
      </c>
      <c r="M12" s="140">
        <f t="shared" si="2"/>
        <v>0</v>
      </c>
      <c r="N12" s="140">
        <f t="shared" si="3"/>
        <v>0</v>
      </c>
      <c r="O12" s="140">
        <f t="shared" si="4"/>
        <v>0</v>
      </c>
      <c r="P12" s="140">
        <f t="shared" si="5"/>
        <v>25.56</v>
      </c>
      <c r="Q12" s="156">
        <f t="shared" si="6"/>
        <v>0.28920126116657879</v>
      </c>
      <c r="R12" s="125">
        <v>3.2133473462953202</v>
      </c>
      <c r="S12" s="73">
        <f t="shared" si="7"/>
        <v>82.133158171308381</v>
      </c>
      <c r="T12" t="s">
        <v>800</v>
      </c>
    </row>
    <row r="13" spans="1:20">
      <c r="A13" s="618" t="s">
        <v>731</v>
      </c>
      <c r="B13" s="618" t="s">
        <v>790</v>
      </c>
      <c r="C13" s="618" t="s">
        <v>807</v>
      </c>
      <c r="D13" s="631" t="s">
        <v>497</v>
      </c>
      <c r="E13" s="631" t="s">
        <v>792</v>
      </c>
      <c r="F13" s="632">
        <v>0.1</v>
      </c>
      <c r="G13" s="632">
        <v>0.19</v>
      </c>
      <c r="H13" s="632"/>
      <c r="I13" s="625">
        <f>6*0.0254*7850*5*0.0254/16</f>
        <v>9.4959487500000002</v>
      </c>
      <c r="J13" s="627">
        <v>6</v>
      </c>
      <c r="K13" s="140">
        <f t="shared" si="0"/>
        <v>1.0825381575000002</v>
      </c>
      <c r="L13" s="140">
        <f t="shared" si="1"/>
        <v>1.0825381575000002</v>
      </c>
      <c r="M13" s="140">
        <f t="shared" si="2"/>
        <v>0</v>
      </c>
      <c r="N13" s="140">
        <f t="shared" si="3"/>
        <v>0</v>
      </c>
      <c r="O13" s="140">
        <f t="shared" si="4"/>
        <v>0</v>
      </c>
      <c r="P13" s="140">
        <f t="shared" si="5"/>
        <v>0</v>
      </c>
      <c r="Q13" s="156">
        <f t="shared" si="6"/>
        <v>19.376914533147101</v>
      </c>
      <c r="R13" s="125">
        <v>2.0405453992311302</v>
      </c>
      <c r="S13" s="73">
        <f t="shared" si="7"/>
        <v>2.2089682567787698</v>
      </c>
      <c r="T13" t="s">
        <v>793</v>
      </c>
    </row>
    <row r="14" spans="1:20">
      <c r="A14" s="618" t="s">
        <v>731</v>
      </c>
      <c r="B14" s="618" t="s">
        <v>790</v>
      </c>
      <c r="C14" s="618" t="s">
        <v>807</v>
      </c>
      <c r="D14" s="631" t="s">
        <v>497</v>
      </c>
      <c r="E14" s="631" t="s">
        <v>792</v>
      </c>
      <c r="F14" s="632">
        <v>0.11</v>
      </c>
      <c r="G14" s="632">
        <v>0.15</v>
      </c>
      <c r="H14" s="632"/>
      <c r="I14" s="625">
        <f>6*0.0254*7850*5*0.0254/16</f>
        <v>9.4959487500000002</v>
      </c>
      <c r="J14" s="627">
        <v>6</v>
      </c>
      <c r="K14" s="140">
        <f t="shared" si="0"/>
        <v>0.94009892625000013</v>
      </c>
      <c r="L14" s="140">
        <f t="shared" si="1"/>
        <v>0.94009892625000013</v>
      </c>
      <c r="M14" s="140">
        <f t="shared" si="2"/>
        <v>0</v>
      </c>
      <c r="N14" s="140">
        <f t="shared" si="3"/>
        <v>0</v>
      </c>
      <c r="O14" s="140">
        <f t="shared" si="4"/>
        <v>0</v>
      </c>
      <c r="P14" s="140">
        <f t="shared" si="5"/>
        <v>0</v>
      </c>
      <c r="Q14" s="156">
        <f t="shared" si="6"/>
        <v>19.376914533147101</v>
      </c>
      <c r="R14" s="125">
        <v>2.0405453992311302</v>
      </c>
      <c r="S14" s="73">
        <f t="shared" si="7"/>
        <v>1.9183145387815634</v>
      </c>
      <c r="T14" t="s">
        <v>793</v>
      </c>
    </row>
    <row r="15" spans="1:20">
      <c r="A15" s="618" t="s">
        <v>731</v>
      </c>
      <c r="B15" s="618" t="s">
        <v>790</v>
      </c>
      <c r="C15" s="618" t="s">
        <v>791</v>
      </c>
      <c r="D15" s="631" t="s">
        <v>497</v>
      </c>
      <c r="E15" s="631" t="s">
        <v>792</v>
      </c>
      <c r="F15" s="632">
        <v>0.1</v>
      </c>
      <c r="G15" s="632">
        <v>0.35</v>
      </c>
      <c r="H15" s="632"/>
      <c r="I15" s="625">
        <f>6*0.0254*7850*5*0.0254/16</f>
        <v>9.4959487500000002</v>
      </c>
      <c r="J15" s="627">
        <v>6</v>
      </c>
      <c r="K15" s="140">
        <f t="shared" si="0"/>
        <v>1.9941492374999998</v>
      </c>
      <c r="L15" s="140">
        <f t="shared" si="1"/>
        <v>1.9941492374999998</v>
      </c>
      <c r="M15" s="140">
        <f t="shared" si="2"/>
        <v>0</v>
      </c>
      <c r="N15" s="140">
        <f t="shared" si="3"/>
        <v>0</v>
      </c>
      <c r="O15" s="140">
        <f t="shared" si="4"/>
        <v>0</v>
      </c>
      <c r="P15" s="140">
        <f t="shared" si="5"/>
        <v>0</v>
      </c>
      <c r="Q15" s="156">
        <f t="shared" si="6"/>
        <v>19.376914533147101</v>
      </c>
      <c r="R15" s="125">
        <v>2.0405453992311302</v>
      </c>
      <c r="S15" s="73">
        <f t="shared" si="7"/>
        <v>4.0691520519608915</v>
      </c>
      <c r="T15" t="s">
        <v>793</v>
      </c>
    </row>
    <row r="16" spans="1:20">
      <c r="A16" s="618" t="s">
        <v>731</v>
      </c>
      <c r="B16" s="618" t="s">
        <v>790</v>
      </c>
      <c r="C16" s="618" t="s">
        <v>791</v>
      </c>
      <c r="D16" s="631" t="s">
        <v>497</v>
      </c>
      <c r="E16" s="631" t="s">
        <v>792</v>
      </c>
      <c r="F16" s="632">
        <v>0.17899999999999999</v>
      </c>
      <c r="G16" s="632">
        <v>0.317</v>
      </c>
      <c r="H16" s="632"/>
      <c r="I16" s="625">
        <f>6*0.0254*7850*5*0.0254/16</f>
        <v>9.4959487500000002</v>
      </c>
      <c r="J16" s="627">
        <v>6</v>
      </c>
      <c r="K16" s="140">
        <f t="shared" si="0"/>
        <v>3.2329717195274998</v>
      </c>
      <c r="L16" s="140">
        <f t="shared" si="1"/>
        <v>3.2329717195274998</v>
      </c>
      <c r="M16" s="140">
        <f t="shared" si="2"/>
        <v>0</v>
      </c>
      <c r="N16" s="140">
        <f t="shared" si="3"/>
        <v>0</v>
      </c>
      <c r="O16" s="140">
        <f t="shared" si="4"/>
        <v>0</v>
      </c>
      <c r="P16" s="140">
        <f t="shared" si="5"/>
        <v>0</v>
      </c>
      <c r="Q16" s="156">
        <f t="shared" si="6"/>
        <v>19.376914533147101</v>
      </c>
      <c r="R16" s="125">
        <v>2.0405453992311302</v>
      </c>
      <c r="S16" s="73">
        <f t="shared" si="7"/>
        <v>6.5970255681261953</v>
      </c>
      <c r="T16" t="s">
        <v>793</v>
      </c>
    </row>
    <row r="17" spans="1:20">
      <c r="A17" s="618" t="s">
        <v>731</v>
      </c>
      <c r="B17" s="618" t="s">
        <v>794</v>
      </c>
      <c r="C17" s="618" t="s">
        <v>808</v>
      </c>
      <c r="D17" s="631" t="s">
        <v>515</v>
      </c>
      <c r="E17" s="631" t="s">
        <v>792</v>
      </c>
      <c r="F17" s="629"/>
      <c r="G17" s="629">
        <v>6.8179999999999996</v>
      </c>
      <c r="H17" s="629"/>
      <c r="I17" s="626">
        <f>2*0.0254*7850*0.0254*0.25</f>
        <v>2.5322529999999999</v>
      </c>
      <c r="J17" s="628">
        <v>1</v>
      </c>
      <c r="K17" s="140">
        <f t="shared" si="0"/>
        <v>17.264900953999998</v>
      </c>
      <c r="L17" s="140">
        <f t="shared" si="1"/>
        <v>0</v>
      </c>
      <c r="M17" s="140">
        <f t="shared" si="2"/>
        <v>0</v>
      </c>
      <c r="N17" s="140">
        <f t="shared" si="3"/>
        <v>0</v>
      </c>
      <c r="O17" s="140">
        <f t="shared" si="4"/>
        <v>17.264900953999998</v>
      </c>
      <c r="P17" s="140">
        <f t="shared" si="5"/>
        <v>0</v>
      </c>
      <c r="Q17" s="156">
        <f t="shared" si="6"/>
        <v>5.5422142643194974</v>
      </c>
      <c r="R17" s="125">
        <v>2.1886495007882298</v>
      </c>
      <c r="S17" s="73">
        <f t="shared" si="7"/>
        <v>37.786816854130329</v>
      </c>
      <c r="T17" t="s">
        <v>793</v>
      </c>
    </row>
    <row r="18" spans="1:20">
      <c r="A18" s="618" t="s">
        <v>731</v>
      </c>
      <c r="B18" s="618" t="s">
        <v>794</v>
      </c>
      <c r="C18" s="618" t="s">
        <v>808</v>
      </c>
      <c r="D18" s="631" t="s">
        <v>515</v>
      </c>
      <c r="E18" s="631" t="s">
        <v>792</v>
      </c>
      <c r="F18" s="629"/>
      <c r="G18" s="629">
        <v>7.75</v>
      </c>
      <c r="H18" s="629"/>
      <c r="I18" s="626">
        <f>2*0.0254*7850*0.0254*0.25</f>
        <v>2.5322529999999999</v>
      </c>
      <c r="J18" s="628">
        <v>1</v>
      </c>
      <c r="K18" s="140">
        <f t="shared" si="0"/>
        <v>19.62496075</v>
      </c>
      <c r="L18" s="140">
        <f t="shared" si="1"/>
        <v>0</v>
      </c>
      <c r="M18" s="140">
        <f t="shared" si="2"/>
        <v>0</v>
      </c>
      <c r="N18" s="140">
        <f t="shared" si="3"/>
        <v>0</v>
      </c>
      <c r="O18" s="140">
        <f t="shared" si="4"/>
        <v>19.62496075</v>
      </c>
      <c r="P18" s="140">
        <f t="shared" si="5"/>
        <v>0</v>
      </c>
      <c r="Q18" s="156">
        <f t="shared" si="6"/>
        <v>5.5422142643194974</v>
      </c>
      <c r="R18" s="125">
        <v>2.1886495007882298</v>
      </c>
      <c r="S18" s="73">
        <f t="shared" si="7"/>
        <v>42.952160548476101</v>
      </c>
      <c r="T18" t="s">
        <v>793</v>
      </c>
    </row>
    <row r="19" spans="1:20">
      <c r="A19" s="618" t="s">
        <v>731</v>
      </c>
      <c r="B19" s="618" t="s">
        <v>794</v>
      </c>
      <c r="C19" s="618" t="s">
        <v>808</v>
      </c>
      <c r="D19" s="631" t="s">
        <v>515</v>
      </c>
      <c r="E19" s="631" t="s">
        <v>792</v>
      </c>
      <c r="F19" s="629"/>
      <c r="G19" s="629">
        <v>6.6390000000000002</v>
      </c>
      <c r="H19" s="629"/>
      <c r="I19" s="626">
        <f>2*0.0254*7850*0.0254*0.25</f>
        <v>2.5322529999999999</v>
      </c>
      <c r="J19" s="628">
        <v>1</v>
      </c>
      <c r="K19" s="140">
        <f t="shared" si="0"/>
        <v>16.811627667</v>
      </c>
      <c r="L19" s="140">
        <f t="shared" si="1"/>
        <v>0</v>
      </c>
      <c r="M19" s="140">
        <f t="shared" si="2"/>
        <v>0</v>
      </c>
      <c r="N19" s="140">
        <f t="shared" si="3"/>
        <v>0</v>
      </c>
      <c r="O19" s="140">
        <f t="shared" si="4"/>
        <v>16.811627667</v>
      </c>
      <c r="P19" s="140">
        <f t="shared" si="5"/>
        <v>0</v>
      </c>
      <c r="Q19" s="156">
        <f t="shared" si="6"/>
        <v>5.5422142643194974</v>
      </c>
      <c r="R19" s="125">
        <v>2.1886495007882298</v>
      </c>
      <c r="S19" s="73">
        <f t="shared" si="7"/>
        <v>36.794760500817141</v>
      </c>
      <c r="T19" t="s">
        <v>793</v>
      </c>
    </row>
    <row r="20" spans="1:20">
      <c r="A20" s="618" t="s">
        <v>731</v>
      </c>
      <c r="B20" s="618" t="s">
        <v>797</v>
      </c>
      <c r="C20" s="618" t="s">
        <v>809</v>
      </c>
      <c r="D20" s="631" t="s">
        <v>513</v>
      </c>
      <c r="E20" s="631" t="s">
        <v>799</v>
      </c>
      <c r="F20" s="629"/>
      <c r="G20" s="629"/>
      <c r="H20" s="629"/>
      <c r="I20" s="626">
        <v>0.06</v>
      </c>
      <c r="J20" s="628">
        <v>48</v>
      </c>
      <c r="K20" s="140">
        <f t="shared" si="0"/>
        <v>2.88</v>
      </c>
      <c r="L20" s="140">
        <f t="shared" si="1"/>
        <v>0</v>
      </c>
      <c r="M20" s="140">
        <f t="shared" si="2"/>
        <v>0</v>
      </c>
      <c r="N20" s="140">
        <f t="shared" si="3"/>
        <v>0</v>
      </c>
      <c r="O20" s="140">
        <f t="shared" si="4"/>
        <v>0</v>
      </c>
      <c r="P20" s="140">
        <f t="shared" si="5"/>
        <v>2.88</v>
      </c>
      <c r="Q20" s="156">
        <f t="shared" si="6"/>
        <v>0.1928008407777192</v>
      </c>
      <c r="R20" s="125">
        <v>3.2133473462953202</v>
      </c>
      <c r="S20" s="73">
        <f t="shared" si="7"/>
        <v>9.2544403573305214</v>
      </c>
      <c r="T20" t="s">
        <v>800</v>
      </c>
    </row>
    <row r="21" spans="1:20">
      <c r="A21" s="618" t="s">
        <v>731</v>
      </c>
      <c r="B21" s="618" t="s">
        <v>797</v>
      </c>
      <c r="C21" s="618" t="s">
        <v>810</v>
      </c>
      <c r="D21" s="631" t="s">
        <v>513</v>
      </c>
      <c r="E21" s="631" t="s">
        <v>799</v>
      </c>
      <c r="F21" s="629"/>
      <c r="G21" s="629"/>
      <c r="H21" s="629"/>
      <c r="I21" s="626">
        <v>0.15</v>
      </c>
      <c r="J21" s="628">
        <v>48</v>
      </c>
      <c r="K21" s="140">
        <f t="shared" si="0"/>
        <v>7.1999999999999993</v>
      </c>
      <c r="L21" s="140">
        <f t="shared" si="1"/>
        <v>0</v>
      </c>
      <c r="M21" s="140">
        <f t="shared" si="2"/>
        <v>0</v>
      </c>
      <c r="N21" s="140">
        <f t="shared" si="3"/>
        <v>0</v>
      </c>
      <c r="O21" s="140">
        <f t="shared" si="4"/>
        <v>0</v>
      </c>
      <c r="P21" s="140">
        <f t="shared" si="5"/>
        <v>7.1999999999999993</v>
      </c>
      <c r="Q21" s="156">
        <f t="shared" si="6"/>
        <v>0.48200210194429799</v>
      </c>
      <c r="R21" s="125">
        <v>3.2133473462953202</v>
      </c>
      <c r="S21" s="73">
        <f t="shared" si="7"/>
        <v>23.136100893326304</v>
      </c>
      <c r="T21" t="s">
        <v>800</v>
      </c>
    </row>
    <row r="22" spans="1:20">
      <c r="A22" s="618" t="s">
        <v>731</v>
      </c>
      <c r="B22" s="618" t="s">
        <v>794</v>
      </c>
      <c r="C22" s="618" t="s">
        <v>811</v>
      </c>
      <c r="D22" s="631" t="s">
        <v>515</v>
      </c>
      <c r="E22" s="633" t="s">
        <v>792</v>
      </c>
      <c r="F22" s="629"/>
      <c r="G22" s="629">
        <v>0.152</v>
      </c>
      <c r="H22" s="629"/>
      <c r="I22" s="626">
        <f t="shared" ref="I22:I28" si="8">2*0.0254*7850*0.0254*0.25</f>
        <v>2.5322529999999999</v>
      </c>
      <c r="J22" s="628">
        <v>4</v>
      </c>
      <c r="K22" s="140">
        <f t="shared" si="0"/>
        <v>1.5396098239999998</v>
      </c>
      <c r="L22" s="140">
        <f t="shared" si="1"/>
        <v>0</v>
      </c>
      <c r="M22" s="140">
        <f t="shared" si="2"/>
        <v>0</v>
      </c>
      <c r="N22" s="140">
        <f t="shared" si="3"/>
        <v>0</v>
      </c>
      <c r="O22" s="140">
        <f t="shared" si="4"/>
        <v>1.5396098239999998</v>
      </c>
      <c r="P22" s="140">
        <f t="shared" si="5"/>
        <v>0</v>
      </c>
      <c r="Q22" s="156">
        <f t="shared" si="6"/>
        <v>5.5422142643194974</v>
      </c>
      <c r="R22" s="125">
        <v>2.1886495007882298</v>
      </c>
      <c r="S22" s="73">
        <f t="shared" si="7"/>
        <v>3.3696662727062541</v>
      </c>
      <c r="T22" t="s">
        <v>793</v>
      </c>
    </row>
    <row r="23" spans="1:20">
      <c r="A23" s="618" t="s">
        <v>731</v>
      </c>
      <c r="B23" s="618" t="s">
        <v>790</v>
      </c>
      <c r="C23" s="618" t="s">
        <v>807</v>
      </c>
      <c r="D23" s="631" t="s">
        <v>497</v>
      </c>
      <c r="E23" s="631" t="s">
        <v>792</v>
      </c>
      <c r="F23" s="632">
        <v>0.11</v>
      </c>
      <c r="G23" s="632">
        <v>0.21199999999999999</v>
      </c>
      <c r="H23" s="632"/>
      <c r="I23" s="625">
        <f t="shared" si="8"/>
        <v>2.5322529999999999</v>
      </c>
      <c r="J23" s="627">
        <v>4</v>
      </c>
      <c r="K23" s="140">
        <f t="shared" si="0"/>
        <v>0.23620855984</v>
      </c>
      <c r="L23" s="140">
        <f t="shared" si="1"/>
        <v>0.23620855984</v>
      </c>
      <c r="M23" s="140">
        <f t="shared" si="2"/>
        <v>0</v>
      </c>
      <c r="N23" s="140">
        <f t="shared" si="3"/>
        <v>0</v>
      </c>
      <c r="O23" s="140">
        <f t="shared" si="4"/>
        <v>0</v>
      </c>
      <c r="P23" s="140">
        <f t="shared" si="5"/>
        <v>0</v>
      </c>
      <c r="Q23" s="156">
        <f t="shared" si="6"/>
        <v>5.1671772088392265</v>
      </c>
      <c r="R23" s="125">
        <v>2.0405453992311302</v>
      </c>
      <c r="S23" s="73">
        <f t="shared" si="7"/>
        <v>0.48199429004052313</v>
      </c>
      <c r="T23" t="s">
        <v>793</v>
      </c>
    </row>
    <row r="24" spans="1:20">
      <c r="A24" s="618" t="s">
        <v>731</v>
      </c>
      <c r="B24" s="618" t="s">
        <v>790</v>
      </c>
      <c r="C24" s="618" t="s">
        <v>807</v>
      </c>
      <c r="D24" s="631" t="s">
        <v>497</v>
      </c>
      <c r="E24" s="631" t="s">
        <v>792</v>
      </c>
      <c r="F24" s="632">
        <v>0.1</v>
      </c>
      <c r="G24" s="632">
        <v>0.253</v>
      </c>
      <c r="H24" s="632"/>
      <c r="I24" s="625">
        <f t="shared" si="8"/>
        <v>2.5322529999999999</v>
      </c>
      <c r="J24" s="627">
        <v>4</v>
      </c>
      <c r="K24" s="140">
        <f t="shared" si="0"/>
        <v>0.25626400360000001</v>
      </c>
      <c r="L24" s="140">
        <f t="shared" si="1"/>
        <v>0.25626400360000001</v>
      </c>
      <c r="M24" s="140">
        <f t="shared" si="2"/>
        <v>0</v>
      </c>
      <c r="N24" s="140">
        <f t="shared" si="3"/>
        <v>0</v>
      </c>
      <c r="O24" s="140">
        <f t="shared" si="4"/>
        <v>0</v>
      </c>
      <c r="P24" s="140">
        <f t="shared" si="5"/>
        <v>0</v>
      </c>
      <c r="Q24" s="156">
        <f t="shared" si="6"/>
        <v>5.1671772088392265</v>
      </c>
      <c r="R24" s="125">
        <v>2.0405453992311302</v>
      </c>
      <c r="S24" s="73">
        <f t="shared" si="7"/>
        <v>0.52291833353452977</v>
      </c>
      <c r="T24" t="s">
        <v>793</v>
      </c>
    </row>
    <row r="25" spans="1:20">
      <c r="A25" s="618" t="s">
        <v>731</v>
      </c>
      <c r="B25" s="618" t="s">
        <v>790</v>
      </c>
      <c r="C25" s="618" t="s">
        <v>807</v>
      </c>
      <c r="D25" s="631" t="s">
        <v>497</v>
      </c>
      <c r="E25" s="631" t="s">
        <v>792</v>
      </c>
      <c r="F25" s="632">
        <v>0.17199999999999999</v>
      </c>
      <c r="G25" s="632">
        <v>0.32800000000000001</v>
      </c>
      <c r="H25" s="632"/>
      <c r="I25" s="625">
        <f t="shared" si="8"/>
        <v>2.5322529999999999</v>
      </c>
      <c r="J25" s="627">
        <v>4</v>
      </c>
      <c r="K25" s="140">
        <f t="shared" si="0"/>
        <v>0.57143834099199997</v>
      </c>
      <c r="L25" s="140">
        <f t="shared" si="1"/>
        <v>0.57143834099199997</v>
      </c>
      <c r="M25" s="140">
        <f t="shared" si="2"/>
        <v>0</v>
      </c>
      <c r="N25" s="140">
        <f t="shared" si="3"/>
        <v>0</v>
      </c>
      <c r="O25" s="140">
        <f t="shared" si="4"/>
        <v>0</v>
      </c>
      <c r="P25" s="140">
        <f t="shared" si="5"/>
        <v>0</v>
      </c>
      <c r="Q25" s="156">
        <f t="shared" si="6"/>
        <v>5.1671772088392265</v>
      </c>
      <c r="R25" s="125">
        <v>2.0405453992311302</v>
      </c>
      <c r="S25" s="73">
        <f t="shared" si="7"/>
        <v>1.1660458776554954</v>
      </c>
      <c r="T25" t="s">
        <v>793</v>
      </c>
    </row>
    <row r="26" spans="1:20">
      <c r="A26" s="618" t="s">
        <v>731</v>
      </c>
      <c r="B26" s="618" t="s">
        <v>790</v>
      </c>
      <c r="C26" s="618" t="s">
        <v>807</v>
      </c>
      <c r="D26" s="631" t="s">
        <v>497</v>
      </c>
      <c r="E26" s="631" t="s">
        <v>792</v>
      </c>
      <c r="F26" s="632">
        <v>0.17499999999999999</v>
      </c>
      <c r="G26" s="632">
        <v>0.25</v>
      </c>
      <c r="H26" s="632"/>
      <c r="I26" s="625">
        <f t="shared" si="8"/>
        <v>2.5322529999999999</v>
      </c>
      <c r="J26" s="627">
        <v>4</v>
      </c>
      <c r="K26" s="140">
        <f t="shared" si="0"/>
        <v>0.44314427499999992</v>
      </c>
      <c r="L26" s="140">
        <f t="shared" si="1"/>
        <v>0.44314427499999992</v>
      </c>
      <c r="M26" s="140">
        <f t="shared" si="2"/>
        <v>0</v>
      </c>
      <c r="N26" s="140">
        <f t="shared" si="3"/>
        <v>0</v>
      </c>
      <c r="O26" s="140">
        <f t="shared" si="4"/>
        <v>0</v>
      </c>
      <c r="P26" s="140">
        <f t="shared" si="5"/>
        <v>0</v>
      </c>
      <c r="Q26" s="156">
        <f t="shared" si="6"/>
        <v>5.1671772088392265</v>
      </c>
      <c r="R26" s="125">
        <v>2.0405453992311302</v>
      </c>
      <c r="S26" s="73">
        <f t="shared" si="7"/>
        <v>0.90425601154686464</v>
      </c>
      <c r="T26" t="s">
        <v>793</v>
      </c>
    </row>
    <row r="27" spans="1:20">
      <c r="A27" s="618" t="s">
        <v>731</v>
      </c>
      <c r="B27" s="618" t="s">
        <v>794</v>
      </c>
      <c r="C27" s="618" t="s">
        <v>812</v>
      </c>
      <c r="D27" s="631" t="s">
        <v>513</v>
      </c>
      <c r="E27" s="631" t="s">
        <v>799</v>
      </c>
      <c r="F27" s="629"/>
      <c r="G27" s="629">
        <v>0.76800000000000002</v>
      </c>
      <c r="H27" s="629"/>
      <c r="I27" s="626">
        <f t="shared" si="8"/>
        <v>2.5322529999999999</v>
      </c>
      <c r="J27" s="628">
        <v>2</v>
      </c>
      <c r="K27" s="140">
        <f t="shared" si="0"/>
        <v>3.8895406079999999</v>
      </c>
      <c r="L27" s="140">
        <f t="shared" si="1"/>
        <v>0</v>
      </c>
      <c r="M27" s="140">
        <f t="shared" si="2"/>
        <v>0</v>
      </c>
      <c r="N27" s="140">
        <f t="shared" si="3"/>
        <v>0</v>
      </c>
      <c r="O27" s="140">
        <f t="shared" si="4"/>
        <v>3.8895406079999999</v>
      </c>
      <c r="P27" s="140">
        <f t="shared" si="5"/>
        <v>0</v>
      </c>
      <c r="Q27" s="156">
        <f t="shared" si="6"/>
        <v>5.5422142643194974</v>
      </c>
      <c r="R27" s="125">
        <v>2.1886495007882298</v>
      </c>
      <c r="S27" s="73">
        <f t="shared" si="7"/>
        <v>8.5128411099947474</v>
      </c>
      <c r="T27" t="s">
        <v>793</v>
      </c>
    </row>
    <row r="28" spans="1:20">
      <c r="A28" s="618" t="s">
        <v>731</v>
      </c>
      <c r="B28" s="618" t="s">
        <v>794</v>
      </c>
      <c r="C28" s="618" t="s">
        <v>812</v>
      </c>
      <c r="D28" s="631" t="s">
        <v>513</v>
      </c>
      <c r="E28" s="631" t="s">
        <v>799</v>
      </c>
      <c r="F28" s="629"/>
      <c r="G28" s="629">
        <v>0.8</v>
      </c>
      <c r="H28" s="629"/>
      <c r="I28" s="626">
        <f t="shared" si="8"/>
        <v>2.5322529999999999</v>
      </c>
      <c r="J28" s="628">
        <v>2</v>
      </c>
      <c r="K28" s="140">
        <f t="shared" si="0"/>
        <v>4.0516047999999998</v>
      </c>
      <c r="L28" s="140">
        <f t="shared" si="1"/>
        <v>0</v>
      </c>
      <c r="M28" s="140">
        <f t="shared" si="2"/>
        <v>0</v>
      </c>
      <c r="N28" s="140">
        <f t="shared" si="3"/>
        <v>0</v>
      </c>
      <c r="O28" s="140">
        <f t="shared" si="4"/>
        <v>4.0516047999999998</v>
      </c>
      <c r="P28" s="140">
        <f t="shared" si="5"/>
        <v>0</v>
      </c>
      <c r="Q28" s="156">
        <f t="shared" si="6"/>
        <v>5.5422142643194974</v>
      </c>
      <c r="R28" s="125">
        <v>2.1886495007882298</v>
      </c>
      <c r="S28" s="73">
        <f t="shared" si="7"/>
        <v>8.8675428229111954</v>
      </c>
      <c r="T28" t="s">
        <v>793</v>
      </c>
    </row>
    <row r="29" spans="1:20">
      <c r="A29" s="618" t="s">
        <v>731</v>
      </c>
      <c r="B29" s="618" t="s">
        <v>794</v>
      </c>
      <c r="C29" s="618" t="s">
        <v>813</v>
      </c>
      <c r="D29" s="631" t="s">
        <v>513</v>
      </c>
      <c r="E29" s="631" t="s">
        <v>799</v>
      </c>
      <c r="F29" s="629">
        <v>0.79900000000000004</v>
      </c>
      <c r="G29" s="629">
        <v>0.78</v>
      </c>
      <c r="H29" s="629"/>
      <c r="I29" s="626">
        <v>49.14</v>
      </c>
      <c r="J29" s="628">
        <v>2</v>
      </c>
      <c r="K29" s="140">
        <f t="shared" si="0"/>
        <v>61.250061600000009</v>
      </c>
      <c r="L29" s="140">
        <f t="shared" si="1"/>
        <v>0</v>
      </c>
      <c r="M29" s="140">
        <f t="shared" si="2"/>
        <v>0</v>
      </c>
      <c r="N29" s="140">
        <f t="shared" si="3"/>
        <v>0</v>
      </c>
      <c r="O29" s="140">
        <f t="shared" si="4"/>
        <v>61.250061600000009</v>
      </c>
      <c r="P29" s="140">
        <f t="shared" si="5"/>
        <v>0</v>
      </c>
      <c r="Q29" s="156">
        <f t="shared" si="6"/>
        <v>107.55023646873362</v>
      </c>
      <c r="R29" s="125">
        <v>2.1886495007882298</v>
      </c>
      <c r="S29" s="73">
        <f t="shared" si="7"/>
        <v>134.05491674408836</v>
      </c>
      <c r="T29" t="s">
        <v>793</v>
      </c>
    </row>
    <row r="30" spans="1:20">
      <c r="A30" s="618" t="s">
        <v>731</v>
      </c>
      <c r="B30" s="618" t="s">
        <v>794</v>
      </c>
      <c r="C30" s="618" t="s">
        <v>812</v>
      </c>
      <c r="D30" s="631" t="s">
        <v>513</v>
      </c>
      <c r="E30" s="631" t="s">
        <v>799</v>
      </c>
      <c r="F30" s="629"/>
      <c r="G30" s="629">
        <v>0.91200000000000003</v>
      </c>
      <c r="H30" s="629"/>
      <c r="I30" s="626">
        <f>2*0.0254*7850*0.0254*0.25</f>
        <v>2.5322529999999999</v>
      </c>
      <c r="J30" s="628">
        <v>4</v>
      </c>
      <c r="K30" s="140">
        <f t="shared" si="0"/>
        <v>9.2376589439999997</v>
      </c>
      <c r="L30" s="140">
        <f t="shared" si="1"/>
        <v>0</v>
      </c>
      <c r="M30" s="140">
        <f t="shared" si="2"/>
        <v>0</v>
      </c>
      <c r="N30" s="140">
        <f t="shared" si="3"/>
        <v>0</v>
      </c>
      <c r="O30" s="140">
        <f t="shared" si="4"/>
        <v>9.2376589439999997</v>
      </c>
      <c r="P30" s="140">
        <f t="shared" si="5"/>
        <v>0</v>
      </c>
      <c r="Q30" s="156">
        <f t="shared" si="6"/>
        <v>5.5422142643194974</v>
      </c>
      <c r="R30" s="125">
        <v>2.1886495007882298</v>
      </c>
      <c r="S30" s="73">
        <f t="shared" si="7"/>
        <v>20.217997636237527</v>
      </c>
      <c r="T30" t="s">
        <v>793</v>
      </c>
    </row>
    <row r="31" spans="1:20">
      <c r="A31" s="618" t="s">
        <v>731</v>
      </c>
      <c r="B31" s="618" t="s">
        <v>790</v>
      </c>
      <c r="C31" s="618" t="s">
        <v>814</v>
      </c>
      <c r="D31" s="631" t="s">
        <v>497</v>
      </c>
      <c r="E31" s="631" t="s">
        <v>792</v>
      </c>
      <c r="F31" s="629">
        <v>0.152</v>
      </c>
      <c r="G31" s="628">
        <v>0.71099999999999997</v>
      </c>
      <c r="H31" s="629"/>
      <c r="I31" s="626">
        <f>2*0.0254*7850*0.0254*0.25</f>
        <v>2.5322529999999999</v>
      </c>
      <c r="J31" s="628">
        <v>2</v>
      </c>
      <c r="K31" s="140">
        <f t="shared" si="0"/>
        <v>0.54733129243199996</v>
      </c>
      <c r="L31" s="140">
        <f t="shared" si="1"/>
        <v>0.54733129243199996</v>
      </c>
      <c r="M31" s="140">
        <f t="shared" si="2"/>
        <v>0</v>
      </c>
      <c r="N31" s="140">
        <f t="shared" si="3"/>
        <v>0</v>
      </c>
      <c r="O31" s="140">
        <f t="shared" si="4"/>
        <v>0</v>
      </c>
      <c r="P31" s="140">
        <f t="shared" si="5"/>
        <v>0</v>
      </c>
      <c r="Q31" s="156">
        <f t="shared" si="6"/>
        <v>5.1671772088392265</v>
      </c>
      <c r="R31" s="125">
        <v>2.0405453992311302</v>
      </c>
      <c r="S31" s="73">
        <f t="shared" si="7"/>
        <v>1.1168543506273458</v>
      </c>
      <c r="T31" t="s">
        <v>793</v>
      </c>
    </row>
    <row r="32" spans="1:20">
      <c r="A32" s="618" t="s">
        <v>731</v>
      </c>
      <c r="B32" s="618" t="s">
        <v>794</v>
      </c>
      <c r="C32" s="618" t="s">
        <v>808</v>
      </c>
      <c r="D32" s="631" t="s">
        <v>513</v>
      </c>
      <c r="E32" s="631" t="s">
        <v>799</v>
      </c>
      <c r="F32" s="629"/>
      <c r="G32" s="629">
        <v>0.57499999999999996</v>
      </c>
      <c r="H32" s="629"/>
      <c r="I32" s="626">
        <f>2*0.0254*7850*0.0254*0.25</f>
        <v>2.5322529999999999</v>
      </c>
      <c r="J32" s="628">
        <v>2</v>
      </c>
      <c r="K32" s="140">
        <f t="shared" si="0"/>
        <v>2.9120909499999996</v>
      </c>
      <c r="L32" s="140">
        <f t="shared" si="1"/>
        <v>0</v>
      </c>
      <c r="M32" s="140">
        <f t="shared" si="2"/>
        <v>0</v>
      </c>
      <c r="N32" s="140">
        <f t="shared" si="3"/>
        <v>0</v>
      </c>
      <c r="O32" s="140">
        <f t="shared" si="4"/>
        <v>2.9120909499999996</v>
      </c>
      <c r="P32" s="140">
        <f t="shared" si="5"/>
        <v>0</v>
      </c>
      <c r="Q32" s="156">
        <f t="shared" si="6"/>
        <v>5.5422142643194974</v>
      </c>
      <c r="R32" s="125">
        <v>2.1886495007882298</v>
      </c>
      <c r="S32" s="73">
        <f t="shared" si="7"/>
        <v>6.3735464039674214</v>
      </c>
      <c r="T32" t="s">
        <v>793</v>
      </c>
    </row>
    <row r="33" spans="1:20">
      <c r="A33" s="618" t="s">
        <v>731</v>
      </c>
      <c r="B33" s="618" t="s">
        <v>815</v>
      </c>
      <c r="C33" s="618" t="s">
        <v>816</v>
      </c>
      <c r="D33" s="631" t="s">
        <v>515</v>
      </c>
      <c r="E33" s="631" t="s">
        <v>817</v>
      </c>
      <c r="F33" s="629"/>
      <c r="G33" s="629">
        <v>0.56399999999999995</v>
      </c>
      <c r="H33" s="629"/>
      <c r="I33" s="626">
        <v>4.05</v>
      </c>
      <c r="J33" s="628">
        <v>2</v>
      </c>
      <c r="K33" s="140">
        <f t="shared" si="0"/>
        <v>4.5683999999999996</v>
      </c>
      <c r="L33" s="140">
        <f t="shared" si="1"/>
        <v>0</v>
      </c>
      <c r="M33" s="140">
        <f t="shared" si="2"/>
        <v>4.5683999999999996</v>
      </c>
      <c r="N33" s="140">
        <f t="shared" si="3"/>
        <v>0</v>
      </c>
      <c r="O33" s="140">
        <f t="shared" si="4"/>
        <v>0</v>
      </c>
      <c r="P33" s="140">
        <f t="shared" si="5"/>
        <v>0</v>
      </c>
      <c r="Q33" s="156">
        <f t="shared" si="6"/>
        <v>15.75520231213871</v>
      </c>
      <c r="R33" s="125">
        <v>3.8901734104046199</v>
      </c>
      <c r="S33" s="73">
        <f t="shared" si="7"/>
        <v>17.771868208092464</v>
      </c>
      <c r="T33" t="s">
        <v>793</v>
      </c>
    </row>
    <row r="34" spans="1:20">
      <c r="A34" s="618" t="s">
        <v>731</v>
      </c>
      <c r="B34" s="618" t="s">
        <v>818</v>
      </c>
      <c r="C34" s="618" t="s">
        <v>819</v>
      </c>
      <c r="D34" s="631" t="s">
        <v>513</v>
      </c>
      <c r="E34" s="631" t="s">
        <v>799</v>
      </c>
      <c r="F34" s="629"/>
      <c r="G34" s="629"/>
      <c r="H34" s="629"/>
      <c r="I34" s="626">
        <v>0.4</v>
      </c>
      <c r="J34" s="628">
        <v>1</v>
      </c>
      <c r="K34" s="140">
        <f t="shared" si="0"/>
        <v>0.4</v>
      </c>
      <c r="L34" s="140">
        <f t="shared" si="1"/>
        <v>0</v>
      </c>
      <c r="M34" s="140">
        <f t="shared" si="2"/>
        <v>0</v>
      </c>
      <c r="N34" s="140">
        <f t="shared" si="3"/>
        <v>0.4</v>
      </c>
      <c r="O34" s="140">
        <f t="shared" si="4"/>
        <v>0</v>
      </c>
      <c r="P34" s="140">
        <f t="shared" si="5"/>
        <v>0</v>
      </c>
      <c r="Q34" s="156">
        <f t="shared" si="6"/>
        <v>97.356134980842</v>
      </c>
      <c r="R34" s="125">
        <v>243.390337452105</v>
      </c>
      <c r="S34" s="73">
        <f t="shared" si="7"/>
        <v>97.356134980842</v>
      </c>
      <c r="T34" t="s">
        <v>793</v>
      </c>
    </row>
    <row r="35" spans="1:20">
      <c r="A35" s="618" t="s">
        <v>731</v>
      </c>
      <c r="B35" s="618" t="s">
        <v>818</v>
      </c>
      <c r="C35" s="618" t="s">
        <v>820</v>
      </c>
      <c r="D35" s="631" t="s">
        <v>513</v>
      </c>
      <c r="E35" s="631" t="s">
        <v>799</v>
      </c>
      <c r="F35" s="629"/>
      <c r="G35" s="629"/>
      <c r="H35" s="629"/>
      <c r="I35" s="626">
        <v>0.04</v>
      </c>
      <c r="J35" s="628">
        <v>1</v>
      </c>
      <c r="K35" s="140">
        <f t="shared" si="0"/>
        <v>0.04</v>
      </c>
      <c r="L35" s="140">
        <f t="shared" si="1"/>
        <v>0</v>
      </c>
      <c r="M35" s="140">
        <f t="shared" si="2"/>
        <v>0</v>
      </c>
      <c r="N35" s="140">
        <f t="shared" si="3"/>
        <v>0.04</v>
      </c>
      <c r="O35" s="140">
        <f t="shared" si="4"/>
        <v>0</v>
      </c>
      <c r="P35" s="140">
        <f t="shared" si="5"/>
        <v>0</v>
      </c>
      <c r="Q35" s="156">
        <f t="shared" si="6"/>
        <v>0.22280609563846562</v>
      </c>
      <c r="R35" s="125">
        <v>5.5701523909616402</v>
      </c>
      <c r="S35" s="73">
        <f t="shared" si="7"/>
        <v>0.22280609563846562</v>
      </c>
      <c r="T35" t="s">
        <v>793</v>
      </c>
    </row>
    <row r="36" spans="1:20">
      <c r="A36" s="618" t="s">
        <v>731</v>
      </c>
      <c r="B36" s="618" t="s">
        <v>815</v>
      </c>
      <c r="C36" s="618" t="s">
        <v>821</v>
      </c>
      <c r="D36" s="631" t="s">
        <v>515</v>
      </c>
      <c r="E36" s="631" t="s">
        <v>817</v>
      </c>
      <c r="F36" s="629"/>
      <c r="G36" s="629">
        <v>0.1</v>
      </c>
      <c r="H36" s="629"/>
      <c r="I36" s="626">
        <v>5.41</v>
      </c>
      <c r="J36" s="628">
        <v>1</v>
      </c>
      <c r="K36" s="140">
        <f t="shared" si="0"/>
        <v>0.54100000000000004</v>
      </c>
      <c r="L36" s="140">
        <f t="shared" si="1"/>
        <v>0</v>
      </c>
      <c r="M36" s="140">
        <f t="shared" si="2"/>
        <v>0.54100000000000004</v>
      </c>
      <c r="N36" s="140">
        <f t="shared" si="3"/>
        <v>0</v>
      </c>
      <c r="O36" s="140">
        <f t="shared" si="4"/>
        <v>0</v>
      </c>
      <c r="P36" s="140">
        <f t="shared" si="5"/>
        <v>0</v>
      </c>
      <c r="Q36" s="156">
        <f t="shared" si="6"/>
        <v>21.045838150288994</v>
      </c>
      <c r="R36" s="125">
        <v>3.8901734104046199</v>
      </c>
      <c r="S36" s="73">
        <f t="shared" si="7"/>
        <v>2.1045838150288994</v>
      </c>
      <c r="T36" t="s">
        <v>793</v>
      </c>
    </row>
    <row r="37" spans="1:20">
      <c r="A37" s="618" t="s">
        <v>731</v>
      </c>
      <c r="B37" s="618" t="s">
        <v>790</v>
      </c>
      <c r="C37" s="618" t="s">
        <v>791</v>
      </c>
      <c r="D37" s="631" t="s">
        <v>497</v>
      </c>
      <c r="E37" s="631" t="s">
        <v>792</v>
      </c>
      <c r="F37" s="632">
        <v>0.2</v>
      </c>
      <c r="G37" s="632">
        <v>0.16400000000000001</v>
      </c>
      <c r="H37" s="632"/>
      <c r="I37" s="625">
        <f>6*0.0254*7850*5*0.0254/16</f>
        <v>9.4959487500000002</v>
      </c>
      <c r="J37" s="627">
        <v>2</v>
      </c>
      <c r="K37" s="140">
        <f t="shared" si="0"/>
        <v>0.62293423800000003</v>
      </c>
      <c r="L37" s="140">
        <f t="shared" si="1"/>
        <v>0.62293423800000003</v>
      </c>
      <c r="M37" s="140">
        <f t="shared" si="2"/>
        <v>0</v>
      </c>
      <c r="N37" s="140">
        <f t="shared" si="3"/>
        <v>0</v>
      </c>
      <c r="O37" s="140">
        <f t="shared" si="4"/>
        <v>0</v>
      </c>
      <c r="P37" s="140">
        <f t="shared" si="5"/>
        <v>0</v>
      </c>
      <c r="Q37" s="156">
        <f t="shared" si="6"/>
        <v>19.376914533147101</v>
      </c>
      <c r="R37" s="125">
        <v>2.0405453992311302</v>
      </c>
      <c r="S37" s="73">
        <f t="shared" si="7"/>
        <v>1.2711255933744499</v>
      </c>
      <c r="T37" t="s">
        <v>793</v>
      </c>
    </row>
    <row r="38" spans="1:20">
      <c r="A38" s="618" t="s">
        <v>731</v>
      </c>
      <c r="B38" s="618" t="s">
        <v>794</v>
      </c>
      <c r="C38" s="618" t="s">
        <v>803</v>
      </c>
      <c r="D38" s="631" t="s">
        <v>515</v>
      </c>
      <c r="E38" s="633" t="s">
        <v>792</v>
      </c>
      <c r="F38" s="629"/>
      <c r="G38" s="629">
        <v>1.149</v>
      </c>
      <c r="H38" s="629"/>
      <c r="I38" s="626">
        <f>8*0.0254*7850*5*0.0254/16</f>
        <v>12.661264999999998</v>
      </c>
      <c r="J38" s="628">
        <v>9</v>
      </c>
      <c r="K38" s="140">
        <f t="shared" si="0"/>
        <v>130.93014136499997</v>
      </c>
      <c r="L38" s="140">
        <f t="shared" si="1"/>
        <v>0</v>
      </c>
      <c r="M38" s="140">
        <f t="shared" si="2"/>
        <v>0</v>
      </c>
      <c r="N38" s="140">
        <f t="shared" si="3"/>
        <v>0</v>
      </c>
      <c r="O38" s="140">
        <f t="shared" si="4"/>
        <v>130.93014136499997</v>
      </c>
      <c r="P38" s="140">
        <f t="shared" si="5"/>
        <v>0</v>
      </c>
      <c r="Q38" s="156">
        <f t="shared" si="6"/>
        <v>27.711071321597483</v>
      </c>
      <c r="R38" s="125">
        <v>2.1886495007882298</v>
      </c>
      <c r="S38" s="73">
        <f t="shared" si="7"/>
        <v>286.56018853663954</v>
      </c>
      <c r="T38" t="s">
        <v>793</v>
      </c>
    </row>
    <row r="39" spans="1:20">
      <c r="A39" s="618" t="s">
        <v>731</v>
      </c>
      <c r="B39" s="618" t="s">
        <v>794</v>
      </c>
      <c r="C39" s="618" t="s">
        <v>803</v>
      </c>
      <c r="D39" s="631" t="s">
        <v>515</v>
      </c>
      <c r="E39" s="633" t="s">
        <v>792</v>
      </c>
      <c r="F39" s="629"/>
      <c r="G39" s="629">
        <v>1.0549999999999999</v>
      </c>
      <c r="H39" s="629"/>
      <c r="I39" s="626">
        <f>8*0.0254*7850*5*0.0254/16</f>
        <v>12.661264999999998</v>
      </c>
      <c r="J39" s="628">
        <v>4</v>
      </c>
      <c r="K39" s="140">
        <f t="shared" si="0"/>
        <v>53.430538299999988</v>
      </c>
      <c r="L39" s="140">
        <f t="shared" si="1"/>
        <v>0</v>
      </c>
      <c r="M39" s="140">
        <f t="shared" si="2"/>
        <v>0</v>
      </c>
      <c r="N39" s="140">
        <f t="shared" si="3"/>
        <v>0</v>
      </c>
      <c r="O39" s="140">
        <f t="shared" si="4"/>
        <v>53.430538299999988</v>
      </c>
      <c r="P39" s="140">
        <f t="shared" si="5"/>
        <v>0</v>
      </c>
      <c r="Q39" s="156">
        <f t="shared" si="6"/>
        <v>27.711071321597483</v>
      </c>
      <c r="R39" s="125">
        <v>2.1886495007882298</v>
      </c>
      <c r="S39" s="73">
        <f t="shared" si="7"/>
        <v>116.94072097714137</v>
      </c>
      <c r="T39" t="s">
        <v>793</v>
      </c>
    </row>
    <row r="40" spans="1:20">
      <c r="A40" s="618" t="s">
        <v>731</v>
      </c>
      <c r="B40" s="618" t="s">
        <v>794</v>
      </c>
      <c r="C40" s="618" t="s">
        <v>795</v>
      </c>
      <c r="D40" s="631" t="s">
        <v>515</v>
      </c>
      <c r="E40" s="633" t="s">
        <v>792</v>
      </c>
      <c r="F40" s="629"/>
      <c r="G40" s="629">
        <v>1.1739999999999999</v>
      </c>
      <c r="H40" s="629"/>
      <c r="I40" s="626">
        <f>6*0.0254*7850*5*0.0254/16</f>
        <v>9.4959487500000002</v>
      </c>
      <c r="J40" s="628">
        <v>4</v>
      </c>
      <c r="K40" s="140">
        <f t="shared" si="0"/>
        <v>44.592975330000002</v>
      </c>
      <c r="L40" s="140">
        <f t="shared" si="1"/>
        <v>0</v>
      </c>
      <c r="M40" s="140">
        <f t="shared" si="2"/>
        <v>0</v>
      </c>
      <c r="N40" s="140">
        <f t="shared" si="3"/>
        <v>0</v>
      </c>
      <c r="O40" s="140">
        <f t="shared" si="4"/>
        <v>44.592975330000002</v>
      </c>
      <c r="P40" s="140">
        <f t="shared" si="5"/>
        <v>0</v>
      </c>
      <c r="Q40" s="156">
        <f t="shared" si="6"/>
        <v>20.783303491198115</v>
      </c>
      <c r="R40" s="157">
        <v>2.1886495007882298</v>
      </c>
      <c r="S40" s="73">
        <f t="shared" si="7"/>
        <v>97.598393194666357</v>
      </c>
      <c r="T40" t="s">
        <v>793</v>
      </c>
    </row>
    <row r="41" spans="1:20">
      <c r="A41" s="618" t="s">
        <v>731</v>
      </c>
      <c r="B41" s="618" t="s">
        <v>815</v>
      </c>
      <c r="C41" s="618" t="s">
        <v>821</v>
      </c>
      <c r="D41" s="631" t="s">
        <v>515</v>
      </c>
      <c r="E41" s="631" t="s">
        <v>817</v>
      </c>
      <c r="F41" s="629"/>
      <c r="G41" s="629">
        <v>6.8470000000000004</v>
      </c>
      <c r="H41" s="629"/>
      <c r="I41" s="626">
        <v>5.41</v>
      </c>
      <c r="J41" s="628">
        <v>1</v>
      </c>
      <c r="K41" s="140">
        <f t="shared" si="0"/>
        <v>37.042270000000002</v>
      </c>
      <c r="L41" s="140">
        <f t="shared" si="1"/>
        <v>0</v>
      </c>
      <c r="M41" s="140">
        <f t="shared" si="2"/>
        <v>37.042270000000002</v>
      </c>
      <c r="N41" s="140">
        <f t="shared" si="3"/>
        <v>0</v>
      </c>
      <c r="O41" s="140">
        <f t="shared" si="4"/>
        <v>0</v>
      </c>
      <c r="P41" s="140">
        <f t="shared" si="5"/>
        <v>0</v>
      </c>
      <c r="Q41" s="156">
        <f t="shared" si="6"/>
        <v>21.045838150288994</v>
      </c>
      <c r="R41" s="125">
        <v>3.8901734104046199</v>
      </c>
      <c r="S41" s="73">
        <f t="shared" si="7"/>
        <v>144.10085381502876</v>
      </c>
      <c r="T41" t="s">
        <v>793</v>
      </c>
    </row>
    <row r="42" spans="1:20">
      <c r="A42" s="618" t="s">
        <v>731</v>
      </c>
      <c r="B42" s="618" t="s">
        <v>815</v>
      </c>
      <c r="C42" s="618" t="s">
        <v>821</v>
      </c>
      <c r="D42" s="631" t="s">
        <v>515</v>
      </c>
      <c r="E42" s="631" t="s">
        <v>817</v>
      </c>
      <c r="F42" s="629"/>
      <c r="G42" s="629">
        <v>7.7489999999999997</v>
      </c>
      <c r="H42" s="629"/>
      <c r="I42" s="626">
        <v>5.41</v>
      </c>
      <c r="J42" s="628">
        <v>1</v>
      </c>
      <c r="K42" s="140">
        <f t="shared" si="0"/>
        <v>41.922089999999997</v>
      </c>
      <c r="L42" s="140">
        <f t="shared" si="1"/>
        <v>0</v>
      </c>
      <c r="M42" s="140">
        <f t="shared" si="2"/>
        <v>41.922089999999997</v>
      </c>
      <c r="N42" s="140">
        <f t="shared" si="3"/>
        <v>0</v>
      </c>
      <c r="O42" s="140">
        <f t="shared" si="4"/>
        <v>0</v>
      </c>
      <c r="P42" s="140">
        <f t="shared" si="5"/>
        <v>0</v>
      </c>
      <c r="Q42" s="156">
        <f t="shared" si="6"/>
        <v>21.045838150288994</v>
      </c>
      <c r="R42" s="125">
        <v>3.8901734104046199</v>
      </c>
      <c r="S42" s="73">
        <f t="shared" si="7"/>
        <v>163.08419982658941</v>
      </c>
      <c r="T42" t="s">
        <v>793</v>
      </c>
    </row>
    <row r="43" spans="1:20">
      <c r="A43" s="618" t="s">
        <v>731</v>
      </c>
      <c r="B43" s="618" t="s">
        <v>815</v>
      </c>
      <c r="C43" s="618" t="s">
        <v>821</v>
      </c>
      <c r="D43" s="631" t="s">
        <v>515</v>
      </c>
      <c r="E43" s="631" t="s">
        <v>817</v>
      </c>
      <c r="F43" s="629"/>
      <c r="G43" s="629">
        <v>6.6740000000000004</v>
      </c>
      <c r="H43" s="629"/>
      <c r="I43" s="626">
        <v>5.41</v>
      </c>
      <c r="J43" s="628">
        <v>1</v>
      </c>
      <c r="K43" s="140">
        <f t="shared" si="0"/>
        <v>36.106340000000003</v>
      </c>
      <c r="L43" s="140">
        <f t="shared" si="1"/>
        <v>0</v>
      </c>
      <c r="M43" s="140">
        <f t="shared" si="2"/>
        <v>36.106340000000003</v>
      </c>
      <c r="N43" s="140">
        <f t="shared" si="3"/>
        <v>0</v>
      </c>
      <c r="O43" s="140">
        <f t="shared" si="4"/>
        <v>0</v>
      </c>
      <c r="P43" s="140">
        <f t="shared" si="5"/>
        <v>0</v>
      </c>
      <c r="Q43" s="156">
        <f t="shared" si="6"/>
        <v>21.045838150288994</v>
      </c>
      <c r="R43" s="125">
        <v>3.8901734104046199</v>
      </c>
      <c r="S43" s="73">
        <f t="shared" si="7"/>
        <v>140.45992381502876</v>
      </c>
      <c r="T43" t="s">
        <v>793</v>
      </c>
    </row>
    <row r="44" spans="1:20">
      <c r="A44" s="618" t="s">
        <v>731</v>
      </c>
      <c r="B44" s="618" t="s">
        <v>794</v>
      </c>
      <c r="C44" s="618" t="s">
        <v>811</v>
      </c>
      <c r="D44" s="631" t="s">
        <v>515</v>
      </c>
      <c r="E44" s="633" t="s">
        <v>792</v>
      </c>
      <c r="F44" s="629"/>
      <c r="G44" s="629">
        <v>0.16400000000000001</v>
      </c>
      <c r="H44" s="629"/>
      <c r="I44" s="626">
        <f>6*0.0254*7850*5*0.0254/16</f>
        <v>9.4959487500000002</v>
      </c>
      <c r="J44" s="628">
        <v>2</v>
      </c>
      <c r="K44" s="140">
        <f t="shared" si="0"/>
        <v>3.1146711900000001</v>
      </c>
      <c r="L44" s="140">
        <f t="shared" si="1"/>
        <v>0</v>
      </c>
      <c r="M44" s="140">
        <f t="shared" si="2"/>
        <v>0</v>
      </c>
      <c r="N44" s="140">
        <f t="shared" si="3"/>
        <v>0</v>
      </c>
      <c r="O44" s="140">
        <f t="shared" si="4"/>
        <v>3.1146711900000001</v>
      </c>
      <c r="P44" s="140">
        <f t="shared" si="5"/>
        <v>0</v>
      </c>
      <c r="Q44" s="156">
        <f t="shared" si="6"/>
        <v>20.783303491198115</v>
      </c>
      <c r="R44" s="157">
        <v>2.1886495007882298</v>
      </c>
      <c r="S44" s="73">
        <f t="shared" si="7"/>
        <v>6.8169235451129824</v>
      </c>
      <c r="T44" t="s">
        <v>793</v>
      </c>
    </row>
    <row r="45" spans="1:20">
      <c r="A45" s="618" t="s">
        <v>731</v>
      </c>
      <c r="B45" s="618" t="s">
        <v>794</v>
      </c>
      <c r="C45" s="618" t="s">
        <v>795</v>
      </c>
      <c r="D45" s="631" t="s">
        <v>515</v>
      </c>
      <c r="E45" s="633" t="s">
        <v>792</v>
      </c>
      <c r="F45" s="629"/>
      <c r="G45" s="629">
        <v>1.161</v>
      </c>
      <c r="H45" s="629"/>
      <c r="I45" s="626">
        <f>6*0.0254*7850*5*0.0254/16</f>
        <v>9.4959487500000002</v>
      </c>
      <c r="J45" s="628">
        <v>11</v>
      </c>
      <c r="K45" s="140">
        <f t="shared" si="0"/>
        <v>121.27276148625</v>
      </c>
      <c r="L45" s="140">
        <f t="shared" si="1"/>
        <v>0</v>
      </c>
      <c r="M45" s="140">
        <f t="shared" si="2"/>
        <v>0</v>
      </c>
      <c r="N45" s="140">
        <f t="shared" si="3"/>
        <v>0</v>
      </c>
      <c r="O45" s="140">
        <f t="shared" si="4"/>
        <v>121.27276148625</v>
      </c>
      <c r="P45" s="140">
        <f t="shared" si="5"/>
        <v>0</v>
      </c>
      <c r="Q45" s="156">
        <f t="shared" si="6"/>
        <v>20.783303491198115</v>
      </c>
      <c r="R45" s="157">
        <v>2.1886495007882298</v>
      </c>
      <c r="S45" s="73">
        <f t="shared" si="7"/>
        <v>265.42356888609112</v>
      </c>
      <c r="T45" t="s">
        <v>793</v>
      </c>
    </row>
    <row r="46" spans="1:20">
      <c r="A46" s="618" t="s">
        <v>731</v>
      </c>
      <c r="B46" s="618" t="s">
        <v>790</v>
      </c>
      <c r="C46" s="618" t="s">
        <v>791</v>
      </c>
      <c r="D46" s="631" t="s">
        <v>497</v>
      </c>
      <c r="E46" s="631" t="s">
        <v>792</v>
      </c>
      <c r="F46" s="632">
        <v>0.2</v>
      </c>
      <c r="G46" s="632">
        <v>6.6440000000000001</v>
      </c>
      <c r="H46" s="632"/>
      <c r="I46" s="625">
        <f>6*0.0254*7850*5*0.0254/16</f>
        <v>9.4959487500000002</v>
      </c>
      <c r="J46" s="627">
        <v>2</v>
      </c>
      <c r="K46" s="140">
        <f t="shared" si="0"/>
        <v>25.236433398000003</v>
      </c>
      <c r="L46" s="140">
        <f t="shared" si="1"/>
        <v>25.236433398000003</v>
      </c>
      <c r="M46" s="140">
        <f t="shared" si="2"/>
        <v>0</v>
      </c>
      <c r="N46" s="140">
        <f t="shared" si="3"/>
        <v>0</v>
      </c>
      <c r="O46" s="140">
        <f t="shared" si="4"/>
        <v>0</v>
      </c>
      <c r="P46" s="140">
        <f t="shared" si="5"/>
        <v>0</v>
      </c>
      <c r="Q46" s="156">
        <f t="shared" si="6"/>
        <v>19.376914533147101</v>
      </c>
      <c r="R46" s="125">
        <v>2.0405453992311302</v>
      </c>
      <c r="S46" s="73">
        <f t="shared" si="7"/>
        <v>51.496088063291744</v>
      </c>
      <c r="T46" t="s">
        <v>793</v>
      </c>
    </row>
    <row r="47" spans="1:20">
      <c r="A47" s="618" t="s">
        <v>731</v>
      </c>
      <c r="B47" s="618" t="s">
        <v>790</v>
      </c>
      <c r="C47" s="618" t="s">
        <v>791</v>
      </c>
      <c r="D47" s="631" t="s">
        <v>497</v>
      </c>
      <c r="E47" s="631" t="s">
        <v>792</v>
      </c>
      <c r="F47" s="632">
        <v>0.2</v>
      </c>
      <c r="G47" s="632">
        <v>7.5910000000000002</v>
      </c>
      <c r="H47" s="632"/>
      <c r="I47" s="625">
        <f>6*0.0254*7850*5*0.0254/16</f>
        <v>9.4959487500000002</v>
      </c>
      <c r="J47" s="627">
        <v>2</v>
      </c>
      <c r="K47" s="140">
        <f t="shared" si="0"/>
        <v>28.833498784500005</v>
      </c>
      <c r="L47" s="140">
        <f t="shared" si="1"/>
        <v>28.833498784500005</v>
      </c>
      <c r="M47" s="140">
        <f t="shared" si="2"/>
        <v>0</v>
      </c>
      <c r="N47" s="140">
        <f t="shared" si="3"/>
        <v>0</v>
      </c>
      <c r="O47" s="140">
        <f t="shared" si="4"/>
        <v>0</v>
      </c>
      <c r="P47" s="140">
        <f t="shared" si="5"/>
        <v>0</v>
      </c>
      <c r="Q47" s="156">
        <f t="shared" si="6"/>
        <v>19.376914533147101</v>
      </c>
      <c r="R47" s="125">
        <v>2.0405453992311302</v>
      </c>
      <c r="S47" s="73">
        <f t="shared" si="7"/>
        <v>58.836063288447868</v>
      </c>
      <c r="T47" t="s">
        <v>793</v>
      </c>
    </row>
    <row r="48" spans="1:20">
      <c r="A48" s="618" t="s">
        <v>731</v>
      </c>
      <c r="B48" s="618" t="s">
        <v>790</v>
      </c>
      <c r="C48" s="618" t="s">
        <v>791</v>
      </c>
      <c r="D48" s="631" t="s">
        <v>497</v>
      </c>
      <c r="E48" s="631" t="s">
        <v>792</v>
      </c>
      <c r="F48" s="632">
        <v>0.2</v>
      </c>
      <c r="G48" s="632">
        <v>6.7229999999999999</v>
      </c>
      <c r="H48" s="632"/>
      <c r="I48" s="625">
        <f>6*0.0254*7850*5*0.0254/16</f>
        <v>9.4959487500000002</v>
      </c>
      <c r="J48" s="627">
        <v>2</v>
      </c>
      <c r="K48" s="140">
        <f t="shared" si="0"/>
        <v>25.536505378499999</v>
      </c>
      <c r="L48" s="140">
        <f t="shared" si="1"/>
        <v>25.536505378499999</v>
      </c>
      <c r="M48" s="140">
        <f t="shared" si="2"/>
        <v>0</v>
      </c>
      <c r="N48" s="140">
        <f t="shared" si="3"/>
        <v>0</v>
      </c>
      <c r="O48" s="140">
        <f t="shared" si="4"/>
        <v>0</v>
      </c>
      <c r="P48" s="140">
        <f t="shared" si="5"/>
        <v>0</v>
      </c>
      <c r="Q48" s="156">
        <f t="shared" si="6"/>
        <v>19.376914533147101</v>
      </c>
      <c r="R48" s="125">
        <v>2.0405453992311302</v>
      </c>
      <c r="S48" s="73">
        <f t="shared" si="7"/>
        <v>52.108398562539186</v>
      </c>
      <c r="T48" t="s">
        <v>793</v>
      </c>
    </row>
    <row r="49" spans="1:20">
      <c r="A49" s="618" t="s">
        <v>731</v>
      </c>
      <c r="B49" s="618" t="s">
        <v>794</v>
      </c>
      <c r="C49" s="618" t="s">
        <v>813</v>
      </c>
      <c r="D49" s="631" t="s">
        <v>513</v>
      </c>
      <c r="E49" s="631" t="s">
        <v>799</v>
      </c>
      <c r="F49" s="629">
        <v>0.24399999999999999</v>
      </c>
      <c r="G49" s="629">
        <v>0.8</v>
      </c>
      <c r="H49" s="629"/>
      <c r="I49" s="626">
        <v>49.14</v>
      </c>
      <c r="J49" s="628">
        <v>65</v>
      </c>
      <c r="K49" s="140">
        <f t="shared" si="0"/>
        <v>623.48832000000004</v>
      </c>
      <c r="L49" s="140">
        <f t="shared" si="1"/>
        <v>0</v>
      </c>
      <c r="M49" s="140">
        <f t="shared" si="2"/>
        <v>0</v>
      </c>
      <c r="N49" s="140">
        <f t="shared" si="3"/>
        <v>0</v>
      </c>
      <c r="O49" s="140">
        <f t="shared" si="4"/>
        <v>623.48832000000004</v>
      </c>
      <c r="P49" s="140">
        <f t="shared" si="5"/>
        <v>0</v>
      </c>
      <c r="Q49" s="156">
        <f t="shared" si="6"/>
        <v>107.55023646873362</v>
      </c>
      <c r="R49" s="125">
        <v>2.1886495007882298</v>
      </c>
      <c r="S49" s="73">
        <f t="shared" si="7"/>
        <v>1364.5974003152921</v>
      </c>
      <c r="T49" t="s">
        <v>793</v>
      </c>
    </row>
    <row r="50" spans="1:20">
      <c r="A50" s="618" t="s">
        <v>733</v>
      </c>
      <c r="B50" s="618" t="s">
        <v>794</v>
      </c>
      <c r="C50" s="618" t="s">
        <v>813</v>
      </c>
      <c r="D50" s="631" t="s">
        <v>513</v>
      </c>
      <c r="E50" s="631" t="s">
        <v>799</v>
      </c>
      <c r="F50" s="628">
        <v>1.498</v>
      </c>
      <c r="G50" s="629">
        <v>1.119</v>
      </c>
      <c r="H50" s="629"/>
      <c r="I50" s="626">
        <v>49.14</v>
      </c>
      <c r="J50" s="628">
        <v>1</v>
      </c>
      <c r="K50" s="140">
        <f t="shared" si="0"/>
        <v>82.37151467999999</v>
      </c>
      <c r="L50" s="140">
        <f t="shared" si="1"/>
        <v>0</v>
      </c>
      <c r="M50" s="140">
        <f t="shared" si="2"/>
        <v>0</v>
      </c>
      <c r="N50" s="140">
        <f t="shared" si="3"/>
        <v>0</v>
      </c>
      <c r="O50" s="140">
        <f t="shared" si="4"/>
        <v>82.37151467999999</v>
      </c>
      <c r="P50" s="140">
        <f t="shared" si="5"/>
        <v>0</v>
      </c>
      <c r="Q50" s="156">
        <f t="shared" si="6"/>
        <v>107.55023646873362</v>
      </c>
      <c r="R50" s="125">
        <v>2.1886495007882298</v>
      </c>
      <c r="S50" s="73">
        <f t="shared" si="7"/>
        <v>180.28237448355233</v>
      </c>
      <c r="T50" t="s">
        <v>793</v>
      </c>
    </row>
    <row r="51" spans="1:20">
      <c r="A51" s="618" t="s">
        <v>733</v>
      </c>
      <c r="B51" s="618" t="s">
        <v>794</v>
      </c>
      <c r="C51" s="618" t="s">
        <v>813</v>
      </c>
      <c r="D51" s="631" t="s">
        <v>513</v>
      </c>
      <c r="E51" s="631" t="s">
        <v>799</v>
      </c>
      <c r="F51" s="628">
        <v>1.498</v>
      </c>
      <c r="G51" s="629">
        <v>1.139</v>
      </c>
      <c r="H51" s="629"/>
      <c r="I51" s="626">
        <v>49.14</v>
      </c>
      <c r="J51" s="628">
        <v>1</v>
      </c>
      <c r="K51" s="140">
        <f t="shared" si="0"/>
        <v>83.843749080000009</v>
      </c>
      <c r="L51" s="140">
        <f t="shared" si="1"/>
        <v>0</v>
      </c>
      <c r="M51" s="140">
        <f t="shared" si="2"/>
        <v>0</v>
      </c>
      <c r="N51" s="140">
        <f t="shared" si="3"/>
        <v>0</v>
      </c>
      <c r="O51" s="140">
        <f t="shared" si="4"/>
        <v>83.843749080000009</v>
      </c>
      <c r="P51" s="140">
        <f t="shared" si="5"/>
        <v>0</v>
      </c>
      <c r="Q51" s="156">
        <f t="shared" si="6"/>
        <v>107.55023646873362</v>
      </c>
      <c r="R51" s="125">
        <v>2.1886495007882298</v>
      </c>
      <c r="S51" s="73">
        <f t="shared" si="7"/>
        <v>183.50457956815563</v>
      </c>
      <c r="T51" t="s">
        <v>793</v>
      </c>
    </row>
    <row r="52" spans="1:20">
      <c r="A52" s="618" t="s">
        <v>733</v>
      </c>
      <c r="B52" s="618" t="s">
        <v>794</v>
      </c>
      <c r="C52" s="618" t="s">
        <v>813</v>
      </c>
      <c r="D52" s="631" t="s">
        <v>513</v>
      </c>
      <c r="E52" s="631" t="s">
        <v>799</v>
      </c>
      <c r="F52" s="628">
        <v>1.4319999999999999</v>
      </c>
      <c r="G52" s="628">
        <v>0.94099999999999995</v>
      </c>
      <c r="H52" s="628"/>
      <c r="I52" s="626">
        <v>49.14</v>
      </c>
      <c r="J52" s="628">
        <v>1</v>
      </c>
      <c r="K52" s="140">
        <f t="shared" si="0"/>
        <v>66.216739679999989</v>
      </c>
      <c r="L52" s="140">
        <f t="shared" si="1"/>
        <v>0</v>
      </c>
      <c r="M52" s="140">
        <f t="shared" si="2"/>
        <v>0</v>
      </c>
      <c r="N52" s="140">
        <f t="shared" si="3"/>
        <v>0</v>
      </c>
      <c r="O52" s="140">
        <f t="shared" si="4"/>
        <v>66.216739679999989</v>
      </c>
      <c r="P52" s="140">
        <f t="shared" si="5"/>
        <v>0</v>
      </c>
      <c r="Q52" s="156">
        <f t="shared" si="6"/>
        <v>107.55023646873362</v>
      </c>
      <c r="R52" s="125">
        <v>2.1886495007882298</v>
      </c>
      <c r="S52" s="73">
        <f t="shared" si="7"/>
        <v>144.92523424445614</v>
      </c>
      <c r="T52" t="s">
        <v>793</v>
      </c>
    </row>
    <row r="53" spans="1:20">
      <c r="A53" s="618" t="s">
        <v>733</v>
      </c>
      <c r="B53" s="618" t="s">
        <v>794</v>
      </c>
      <c r="C53" s="618" t="s">
        <v>813</v>
      </c>
      <c r="D53" s="631" t="s">
        <v>513</v>
      </c>
      <c r="E53" s="631" t="s">
        <v>799</v>
      </c>
      <c r="F53" s="628">
        <v>1.1599999999999999</v>
      </c>
      <c r="G53" s="628">
        <v>1.004</v>
      </c>
      <c r="H53" s="628"/>
      <c r="I53" s="626">
        <v>49.14</v>
      </c>
      <c r="J53" s="628">
        <v>1</v>
      </c>
      <c r="K53" s="140">
        <f t="shared" si="0"/>
        <v>57.230409599999994</v>
      </c>
      <c r="L53" s="140">
        <f t="shared" si="1"/>
        <v>0</v>
      </c>
      <c r="M53" s="140">
        <f t="shared" si="2"/>
        <v>0</v>
      </c>
      <c r="N53" s="140">
        <f t="shared" si="3"/>
        <v>0</v>
      </c>
      <c r="O53" s="140">
        <f t="shared" si="4"/>
        <v>57.230409599999994</v>
      </c>
      <c r="P53" s="140">
        <f t="shared" si="5"/>
        <v>0</v>
      </c>
      <c r="Q53" s="156">
        <f t="shared" si="6"/>
        <v>107.55023646873362</v>
      </c>
      <c r="R53" s="125">
        <v>2.1886495007882298</v>
      </c>
      <c r="S53" s="73">
        <f t="shared" si="7"/>
        <v>125.2573074009459</v>
      </c>
      <c r="T53" t="s">
        <v>793</v>
      </c>
    </row>
    <row r="54" spans="1:20">
      <c r="A54" s="618" t="s">
        <v>733</v>
      </c>
      <c r="B54" s="618" t="s">
        <v>797</v>
      </c>
      <c r="C54" s="618" t="s">
        <v>822</v>
      </c>
      <c r="D54" s="631" t="s">
        <v>513</v>
      </c>
      <c r="E54" s="631" t="s">
        <v>799</v>
      </c>
      <c r="F54" s="628"/>
      <c r="G54" s="628"/>
      <c r="H54" s="628"/>
      <c r="I54" s="626">
        <v>0.24</v>
      </c>
      <c r="J54" s="628">
        <v>3</v>
      </c>
      <c r="K54" s="140">
        <f t="shared" si="0"/>
        <v>0.72</v>
      </c>
      <c r="L54" s="140">
        <f t="shared" si="1"/>
        <v>0</v>
      </c>
      <c r="M54" s="140">
        <f t="shared" si="2"/>
        <v>0</v>
      </c>
      <c r="N54" s="140">
        <f t="shared" si="3"/>
        <v>0</v>
      </c>
      <c r="O54" s="140">
        <f t="shared" si="4"/>
        <v>0</v>
      </c>
      <c r="P54" s="140">
        <f t="shared" si="5"/>
        <v>0.72</v>
      </c>
      <c r="Q54" s="156">
        <f t="shared" si="6"/>
        <v>0.77120336311087678</v>
      </c>
      <c r="R54" s="125">
        <v>3.2133473462953202</v>
      </c>
      <c r="S54" s="73">
        <f t="shared" si="7"/>
        <v>2.3136100893326303</v>
      </c>
      <c r="T54" t="s">
        <v>800</v>
      </c>
    </row>
    <row r="55" spans="1:20">
      <c r="A55" s="618" t="s">
        <v>733</v>
      </c>
      <c r="B55" s="618" t="s">
        <v>790</v>
      </c>
      <c r="C55" s="618" t="s">
        <v>807</v>
      </c>
      <c r="D55" s="631" t="s">
        <v>497</v>
      </c>
      <c r="E55" s="631" t="s">
        <v>792</v>
      </c>
      <c r="F55" s="627">
        <v>0.28000000000000003</v>
      </c>
      <c r="G55" s="627">
        <v>2.8540000000000001</v>
      </c>
      <c r="H55" s="627"/>
      <c r="I55" s="625">
        <f>6*0.0254*7850*5*0.0254/16</f>
        <v>9.4959487500000002</v>
      </c>
      <c r="J55" s="627">
        <v>1</v>
      </c>
      <c r="K55" s="140">
        <f t="shared" si="0"/>
        <v>7.5884025651000009</v>
      </c>
      <c r="L55" s="140">
        <f t="shared" si="1"/>
        <v>7.5884025651000009</v>
      </c>
      <c r="M55" s="140">
        <f t="shared" si="2"/>
        <v>0</v>
      </c>
      <c r="N55" s="140">
        <f t="shared" si="3"/>
        <v>0</v>
      </c>
      <c r="O55" s="140">
        <f t="shared" si="4"/>
        <v>0</v>
      </c>
      <c r="P55" s="140">
        <f t="shared" si="5"/>
        <v>0</v>
      </c>
      <c r="Q55" s="156">
        <f t="shared" si="6"/>
        <v>19.376914533147101</v>
      </c>
      <c r="R55" s="125">
        <v>2.0405453992311302</v>
      </c>
      <c r="S55" s="73">
        <f t="shared" si="7"/>
        <v>15.484479941728514</v>
      </c>
      <c r="T55" t="s">
        <v>793</v>
      </c>
    </row>
    <row r="56" spans="1:20">
      <c r="A56" s="618" t="s">
        <v>733</v>
      </c>
      <c r="B56" s="618" t="s">
        <v>797</v>
      </c>
      <c r="C56" s="618" t="s">
        <v>823</v>
      </c>
      <c r="D56" s="631" t="s">
        <v>513</v>
      </c>
      <c r="E56" s="631" t="s">
        <v>799</v>
      </c>
      <c r="F56" s="628"/>
      <c r="G56" s="628"/>
      <c r="H56" s="628"/>
      <c r="I56" s="626">
        <v>3.5000000000000003E-2</v>
      </c>
      <c r="J56" s="628">
        <v>52</v>
      </c>
      <c r="K56" s="140">
        <f t="shared" si="0"/>
        <v>1.8200000000000003</v>
      </c>
      <c r="L56" s="140">
        <f t="shared" si="1"/>
        <v>0</v>
      </c>
      <c r="M56" s="140">
        <f t="shared" si="2"/>
        <v>0</v>
      </c>
      <c r="N56" s="140">
        <f t="shared" si="3"/>
        <v>0</v>
      </c>
      <c r="O56" s="140">
        <f t="shared" si="4"/>
        <v>0</v>
      </c>
      <c r="P56" s="140">
        <f t="shared" si="5"/>
        <v>1.8200000000000003</v>
      </c>
      <c r="Q56" s="156">
        <f t="shared" si="6"/>
        <v>0.11246715712033621</v>
      </c>
      <c r="R56" s="125">
        <v>3.2133473462953202</v>
      </c>
      <c r="S56" s="73">
        <f t="shared" si="7"/>
        <v>5.8482921702574835</v>
      </c>
      <c r="T56" t="s">
        <v>800</v>
      </c>
    </row>
    <row r="57" spans="1:20">
      <c r="A57" s="618" t="s">
        <v>733</v>
      </c>
      <c r="B57" s="618" t="s">
        <v>797</v>
      </c>
      <c r="C57" s="618" t="s">
        <v>824</v>
      </c>
      <c r="D57" s="631" t="s">
        <v>513</v>
      </c>
      <c r="E57" s="631" t="s">
        <v>799</v>
      </c>
      <c r="F57" s="628"/>
      <c r="G57" s="628"/>
      <c r="H57" s="628"/>
      <c r="I57" s="626">
        <v>0.93</v>
      </c>
      <c r="J57" s="628">
        <v>52</v>
      </c>
      <c r="K57" s="140">
        <f t="shared" si="0"/>
        <v>48.36</v>
      </c>
      <c r="L57" s="140">
        <f t="shared" si="1"/>
        <v>0</v>
      </c>
      <c r="M57" s="140">
        <f t="shared" si="2"/>
        <v>0</v>
      </c>
      <c r="N57" s="140">
        <f t="shared" si="3"/>
        <v>0</v>
      </c>
      <c r="O57" s="140">
        <f t="shared" si="4"/>
        <v>0</v>
      </c>
      <c r="P57" s="140">
        <f t="shared" si="5"/>
        <v>48.36</v>
      </c>
      <c r="Q57" s="156">
        <f t="shared" si="6"/>
        <v>2.9884130320546478</v>
      </c>
      <c r="R57" s="125">
        <v>3.2133473462953202</v>
      </c>
      <c r="S57" s="73">
        <f t="shared" si="7"/>
        <v>155.39747766684167</v>
      </c>
      <c r="T57" t="s">
        <v>800</v>
      </c>
    </row>
    <row r="58" spans="1:20">
      <c r="A58" s="618" t="s">
        <v>733</v>
      </c>
      <c r="B58" s="618" t="s">
        <v>794</v>
      </c>
      <c r="C58" s="618" t="s">
        <v>813</v>
      </c>
      <c r="D58" s="631" t="s">
        <v>513</v>
      </c>
      <c r="E58" s="631" t="s">
        <v>799</v>
      </c>
      <c r="F58" s="628">
        <v>0.8</v>
      </c>
      <c r="G58" s="628">
        <v>0.24399999999999999</v>
      </c>
      <c r="H58" s="628"/>
      <c r="I58" s="626">
        <v>49.14</v>
      </c>
      <c r="J58" s="628">
        <v>1</v>
      </c>
      <c r="K58" s="140">
        <f t="shared" si="0"/>
        <v>9.5921280000000007</v>
      </c>
      <c r="L58" s="140">
        <f t="shared" si="1"/>
        <v>0</v>
      </c>
      <c r="M58" s="140">
        <f t="shared" si="2"/>
        <v>0</v>
      </c>
      <c r="N58" s="140">
        <f t="shared" si="3"/>
        <v>0</v>
      </c>
      <c r="O58" s="140">
        <f t="shared" si="4"/>
        <v>9.5921280000000007</v>
      </c>
      <c r="P58" s="140">
        <f t="shared" si="5"/>
        <v>0</v>
      </c>
      <c r="Q58" s="156">
        <f t="shared" si="6"/>
        <v>107.55023646873362</v>
      </c>
      <c r="R58" s="125">
        <v>2.1886495007882298</v>
      </c>
      <c r="S58" s="73">
        <f t="shared" si="7"/>
        <v>20.993806158696803</v>
      </c>
      <c r="T58" t="s">
        <v>793</v>
      </c>
    </row>
    <row r="59" spans="1:20">
      <c r="A59" s="618" t="s">
        <v>733</v>
      </c>
      <c r="B59" s="618" t="s">
        <v>794</v>
      </c>
      <c r="C59" s="618" t="s">
        <v>813</v>
      </c>
      <c r="D59" s="631" t="s">
        <v>513</v>
      </c>
      <c r="E59" s="631" t="s">
        <v>799</v>
      </c>
      <c r="F59" s="628">
        <v>0.8</v>
      </c>
      <c r="G59" s="628">
        <v>0.24399999999999999</v>
      </c>
      <c r="H59" s="628"/>
      <c r="I59" s="626">
        <v>49.14</v>
      </c>
      <c r="J59" s="628">
        <v>11</v>
      </c>
      <c r="K59" s="140">
        <f t="shared" si="0"/>
        <v>105.51340800000001</v>
      </c>
      <c r="L59" s="140">
        <f t="shared" si="1"/>
        <v>0</v>
      </c>
      <c r="M59" s="140">
        <f t="shared" si="2"/>
        <v>0</v>
      </c>
      <c r="N59" s="140">
        <f t="shared" si="3"/>
        <v>0</v>
      </c>
      <c r="O59" s="140">
        <f t="shared" si="4"/>
        <v>105.51340800000001</v>
      </c>
      <c r="P59" s="140">
        <f t="shared" si="5"/>
        <v>0</v>
      </c>
      <c r="Q59" s="156">
        <f t="shared" si="6"/>
        <v>107.55023646873362</v>
      </c>
      <c r="R59" s="125">
        <v>2.1886495007882298</v>
      </c>
      <c r="S59" s="73">
        <f t="shared" si="7"/>
        <v>230.93186774566485</v>
      </c>
      <c r="T59" t="s">
        <v>793</v>
      </c>
    </row>
    <row r="60" spans="1:20">
      <c r="A60" s="618" t="s">
        <v>733</v>
      </c>
      <c r="B60" s="618" t="s">
        <v>790</v>
      </c>
      <c r="C60" s="618" t="s">
        <v>807</v>
      </c>
      <c r="D60" s="631" t="s">
        <v>497</v>
      </c>
      <c r="E60" s="631" t="s">
        <v>792</v>
      </c>
      <c r="F60" s="627">
        <v>0.2</v>
      </c>
      <c r="G60" s="627">
        <v>0.21299999999999999</v>
      </c>
      <c r="H60" s="627"/>
      <c r="I60" s="625">
        <f>6*0.0254*7850*5*0.0254/16</f>
        <v>9.4959487500000002</v>
      </c>
      <c r="J60" s="627">
        <v>2</v>
      </c>
      <c r="K60" s="140">
        <f t="shared" si="0"/>
        <v>0.80905483349999996</v>
      </c>
      <c r="L60" s="140">
        <f t="shared" si="1"/>
        <v>0.80905483349999996</v>
      </c>
      <c r="M60" s="140">
        <f t="shared" si="2"/>
        <v>0</v>
      </c>
      <c r="N60" s="140">
        <f t="shared" si="3"/>
        <v>0</v>
      </c>
      <c r="O60" s="140">
        <f t="shared" si="4"/>
        <v>0</v>
      </c>
      <c r="P60" s="140">
        <f t="shared" si="5"/>
        <v>0</v>
      </c>
      <c r="Q60" s="156">
        <f t="shared" si="6"/>
        <v>19.376914533147101</v>
      </c>
      <c r="R60" s="125">
        <v>2.0405453992311302</v>
      </c>
      <c r="S60" s="73">
        <f t="shared" si="7"/>
        <v>1.650913118224133</v>
      </c>
      <c r="T60" t="s">
        <v>793</v>
      </c>
    </row>
    <row r="61" spans="1:20">
      <c r="A61" s="618" t="s">
        <v>733</v>
      </c>
      <c r="B61" s="618" t="s">
        <v>790</v>
      </c>
      <c r="C61" s="618" t="s">
        <v>807</v>
      </c>
      <c r="D61" s="631" t="s">
        <v>497</v>
      </c>
      <c r="E61" s="631" t="s">
        <v>792</v>
      </c>
      <c r="F61" s="627">
        <v>0.2</v>
      </c>
      <c r="G61" s="627">
        <v>3.831</v>
      </c>
      <c r="H61" s="627"/>
      <c r="I61" s="625">
        <f>6*0.0254*7850*5*0.0254/16</f>
        <v>9.4959487500000002</v>
      </c>
      <c r="J61" s="627">
        <v>2</v>
      </c>
      <c r="K61" s="140">
        <f t="shared" si="0"/>
        <v>14.551591864500001</v>
      </c>
      <c r="L61" s="140">
        <f t="shared" si="1"/>
        <v>14.551591864500001</v>
      </c>
      <c r="M61" s="140">
        <f t="shared" si="2"/>
        <v>0</v>
      </c>
      <c r="N61" s="140">
        <f t="shared" si="3"/>
        <v>0</v>
      </c>
      <c r="O61" s="140">
        <f t="shared" si="4"/>
        <v>0</v>
      </c>
      <c r="P61" s="140">
        <f t="shared" si="5"/>
        <v>0</v>
      </c>
      <c r="Q61" s="156">
        <f t="shared" si="6"/>
        <v>19.376914533147101</v>
      </c>
      <c r="R61" s="125">
        <v>2.0405453992311302</v>
      </c>
      <c r="S61" s="73">
        <f t="shared" si="7"/>
        <v>29.69318383059462</v>
      </c>
      <c r="T61" t="s">
        <v>793</v>
      </c>
    </row>
    <row r="62" spans="1:20">
      <c r="A62" s="618" t="s">
        <v>733</v>
      </c>
      <c r="B62" s="618" t="s">
        <v>797</v>
      </c>
      <c r="C62" s="618" t="s">
        <v>825</v>
      </c>
      <c r="D62" s="631" t="s">
        <v>513</v>
      </c>
      <c r="E62" s="631" t="s">
        <v>799</v>
      </c>
      <c r="F62" s="628"/>
      <c r="G62" s="628"/>
      <c r="H62" s="628"/>
      <c r="I62" s="626">
        <v>0.15</v>
      </c>
      <c r="J62" s="628">
        <v>6</v>
      </c>
      <c r="K62" s="140">
        <f t="shared" si="0"/>
        <v>0.89999999999999991</v>
      </c>
      <c r="L62" s="140">
        <f t="shared" si="1"/>
        <v>0</v>
      </c>
      <c r="M62" s="140">
        <f t="shared" si="2"/>
        <v>0</v>
      </c>
      <c r="N62" s="140">
        <f t="shared" si="3"/>
        <v>0</v>
      </c>
      <c r="O62" s="140">
        <f t="shared" si="4"/>
        <v>0</v>
      </c>
      <c r="P62" s="140">
        <f t="shared" si="5"/>
        <v>0.89999999999999991</v>
      </c>
      <c r="Q62" s="156">
        <f t="shared" si="6"/>
        <v>0.48200210194429799</v>
      </c>
      <c r="R62" s="125">
        <v>3.2133473462953202</v>
      </c>
      <c r="S62" s="73">
        <f t="shared" si="7"/>
        <v>2.892012611665788</v>
      </c>
      <c r="T62" t="s">
        <v>800</v>
      </c>
    </row>
    <row r="63" spans="1:20">
      <c r="A63" s="618" t="s">
        <v>733</v>
      </c>
      <c r="B63" s="618" t="s">
        <v>794</v>
      </c>
      <c r="C63" s="618" t="s">
        <v>826</v>
      </c>
      <c r="D63" s="631" t="s">
        <v>513</v>
      </c>
      <c r="E63" s="631" t="s">
        <v>799</v>
      </c>
      <c r="F63" s="628"/>
      <c r="G63" s="629">
        <v>3.6989999999999998</v>
      </c>
      <c r="H63" s="629"/>
      <c r="I63" s="626">
        <f>2*0.0254*7850*0.0254*0.25</f>
        <v>2.5322529999999999</v>
      </c>
      <c r="J63" s="628">
        <v>2</v>
      </c>
      <c r="K63" s="140">
        <f t="shared" si="0"/>
        <v>18.733607694</v>
      </c>
      <c r="L63" s="140">
        <f t="shared" si="1"/>
        <v>0</v>
      </c>
      <c r="M63" s="140">
        <f t="shared" si="2"/>
        <v>0</v>
      </c>
      <c r="N63" s="140">
        <f t="shared" si="3"/>
        <v>0</v>
      </c>
      <c r="O63" s="140">
        <f t="shared" si="4"/>
        <v>18.733607694</v>
      </c>
      <c r="P63" s="140">
        <f t="shared" si="5"/>
        <v>0</v>
      </c>
      <c r="Q63" s="156">
        <f t="shared" si="6"/>
        <v>5.5422142643194974</v>
      </c>
      <c r="R63" s="125">
        <v>2.1886495007882298</v>
      </c>
      <c r="S63" s="73">
        <f t="shared" si="7"/>
        <v>41.001301127435639</v>
      </c>
      <c r="T63" t="s">
        <v>793</v>
      </c>
    </row>
    <row r="64" spans="1:20">
      <c r="A64" s="618" t="s">
        <v>733</v>
      </c>
      <c r="B64" s="618" t="s">
        <v>815</v>
      </c>
      <c r="C64" s="618" t="s">
        <v>816</v>
      </c>
      <c r="D64" s="631" t="s">
        <v>515</v>
      </c>
      <c r="E64" s="631" t="s">
        <v>817</v>
      </c>
      <c r="F64" s="628"/>
      <c r="G64" s="629">
        <v>3.827</v>
      </c>
      <c r="H64" s="629"/>
      <c r="I64" s="626">
        <v>4.05</v>
      </c>
      <c r="J64" s="628">
        <v>2</v>
      </c>
      <c r="K64" s="140">
        <f t="shared" si="0"/>
        <v>30.998699999999999</v>
      </c>
      <c r="L64" s="140">
        <f t="shared" si="1"/>
        <v>0</v>
      </c>
      <c r="M64" s="140">
        <f t="shared" si="2"/>
        <v>30.998699999999999</v>
      </c>
      <c r="N64" s="140">
        <f t="shared" si="3"/>
        <v>0</v>
      </c>
      <c r="O64" s="140">
        <f t="shared" si="4"/>
        <v>0</v>
      </c>
      <c r="P64" s="140">
        <f t="shared" si="5"/>
        <v>0</v>
      </c>
      <c r="Q64" s="156">
        <f t="shared" si="6"/>
        <v>15.75520231213871</v>
      </c>
      <c r="R64" s="125">
        <v>3.8901734104046199</v>
      </c>
      <c r="S64" s="73">
        <f t="shared" si="7"/>
        <v>120.59031849710969</v>
      </c>
      <c r="T64" t="s">
        <v>793</v>
      </c>
    </row>
    <row r="65" spans="1:20">
      <c r="A65" s="618" t="s">
        <v>733</v>
      </c>
      <c r="B65" s="618" t="s">
        <v>815</v>
      </c>
      <c r="C65" s="618" t="s">
        <v>816</v>
      </c>
      <c r="D65" s="631" t="s">
        <v>515</v>
      </c>
      <c r="E65" s="631" t="s">
        <v>817</v>
      </c>
      <c r="F65" s="628"/>
      <c r="G65" s="628">
        <v>0.1</v>
      </c>
      <c r="H65" s="628"/>
      <c r="I65" s="626">
        <v>4.05</v>
      </c>
      <c r="J65" s="628">
        <v>2</v>
      </c>
      <c r="K65" s="140">
        <f t="shared" si="0"/>
        <v>0.81</v>
      </c>
      <c r="L65" s="140">
        <f t="shared" si="1"/>
        <v>0</v>
      </c>
      <c r="M65" s="140">
        <f t="shared" si="2"/>
        <v>0.81</v>
      </c>
      <c r="N65" s="140">
        <f t="shared" si="3"/>
        <v>0</v>
      </c>
      <c r="O65" s="140">
        <f t="shared" si="4"/>
        <v>0</v>
      </c>
      <c r="P65" s="140">
        <f t="shared" si="5"/>
        <v>0</v>
      </c>
      <c r="Q65" s="156">
        <f t="shared" si="6"/>
        <v>15.75520231213871</v>
      </c>
      <c r="R65" s="125">
        <v>3.8901734104046199</v>
      </c>
      <c r="S65" s="73">
        <f t="shared" si="7"/>
        <v>3.1510404624277424</v>
      </c>
      <c r="T65" t="s">
        <v>793</v>
      </c>
    </row>
    <row r="66" spans="1:20">
      <c r="A66" s="618" t="s">
        <v>733</v>
      </c>
      <c r="B66" s="618" t="s">
        <v>790</v>
      </c>
      <c r="C66" s="618" t="s">
        <v>827</v>
      </c>
      <c r="D66" s="631" t="s">
        <v>513</v>
      </c>
      <c r="E66" s="631" t="s">
        <v>799</v>
      </c>
      <c r="F66" s="628"/>
      <c r="G66" s="628"/>
      <c r="H66" s="628">
        <f>0.048*0.048*3.1416/4</f>
        <v>1.8095616000000001E-3</v>
      </c>
      <c r="I66" s="626">
        <f>1/4*0.0254*7850</f>
        <v>49.847499999999997</v>
      </c>
      <c r="J66" s="628">
        <v>3</v>
      </c>
      <c r="K66" s="140">
        <f t="shared" si="0"/>
        <v>0.270606365568</v>
      </c>
      <c r="L66" s="140">
        <f t="shared" si="1"/>
        <v>0.270606365568</v>
      </c>
      <c r="M66" s="140">
        <f t="shared" si="2"/>
        <v>0</v>
      </c>
      <c r="N66" s="140">
        <f t="shared" si="3"/>
        <v>0</v>
      </c>
      <c r="O66" s="140">
        <f t="shared" si="4"/>
        <v>0</v>
      </c>
      <c r="P66" s="140">
        <f t="shared" si="5"/>
        <v>0</v>
      </c>
      <c r="Q66" s="156">
        <f t="shared" si="6"/>
        <v>101.71608678817375</v>
      </c>
      <c r="R66" s="125">
        <v>2.0405453992311302</v>
      </c>
      <c r="S66" s="73">
        <f t="shared" si="7"/>
        <v>0.55218457426243972</v>
      </c>
      <c r="T66" t="s">
        <v>793</v>
      </c>
    </row>
    <row r="67" spans="1:20">
      <c r="A67" s="618" t="s">
        <v>733</v>
      </c>
      <c r="B67" s="618" t="s">
        <v>794</v>
      </c>
      <c r="C67" s="618" t="s">
        <v>828</v>
      </c>
      <c r="D67" s="631" t="s">
        <v>515</v>
      </c>
      <c r="E67" s="633" t="s">
        <v>792</v>
      </c>
      <c r="F67" s="628"/>
      <c r="G67" s="628">
        <v>1.53</v>
      </c>
      <c r="H67" s="628"/>
      <c r="I67" s="626">
        <f>8*0.0254*7850*3*0.0254/8</f>
        <v>15.193517999999999</v>
      </c>
      <c r="J67" s="628">
        <v>2</v>
      </c>
      <c r="K67" s="140">
        <f t="shared" ref="K67:K130" si="9">PRODUCT(F67:J67)</f>
        <v>46.492165079999999</v>
      </c>
      <c r="L67" s="140">
        <f t="shared" ref="L67:L130" si="10">IF(B67="Lámina",K67,0)</f>
        <v>0</v>
      </c>
      <c r="M67" s="140">
        <f t="shared" ref="M67:M130" si="11">IF(B67="Tubería",K67,0)</f>
        <v>0</v>
      </c>
      <c r="N67" s="140">
        <f t="shared" ref="N67:N130" si="12">IF(B67="Accesorio",K67,0)</f>
        <v>0</v>
      </c>
      <c r="O67" s="140">
        <f t="shared" ref="O67:O130" si="13">IF(B67="Perfil",K67,0)</f>
        <v>46.492165079999999</v>
      </c>
      <c r="P67" s="140">
        <f t="shared" ref="P67:P130" si="14">IF(B67="Tornillería",K67,0)</f>
        <v>0</v>
      </c>
      <c r="Q67" s="156">
        <f t="shared" ref="Q67:Q130" si="15">I67*R67</f>
        <v>33.253285585916984</v>
      </c>
      <c r="R67" s="157">
        <v>2.1886495007882298</v>
      </c>
      <c r="S67" s="73">
        <f t="shared" ref="S67:S130" si="16">R67*K67</f>
        <v>101.75505389290598</v>
      </c>
      <c r="T67" t="s">
        <v>793</v>
      </c>
    </row>
    <row r="68" spans="1:20">
      <c r="A68" s="618" t="s">
        <v>733</v>
      </c>
      <c r="B68" s="618" t="s">
        <v>790</v>
      </c>
      <c r="C68" s="618" t="s">
        <v>829</v>
      </c>
      <c r="D68" s="631" t="s">
        <v>497</v>
      </c>
      <c r="E68" s="631" t="s">
        <v>792</v>
      </c>
      <c r="F68" s="628">
        <v>0.12</v>
      </c>
      <c r="G68" s="628">
        <v>6.7000000000000004E-2</v>
      </c>
      <c r="H68" s="628"/>
      <c r="I68" s="626">
        <f>6*0.0254*7850*5*0.0254/16</f>
        <v>9.4959487500000002</v>
      </c>
      <c r="J68" s="628">
        <v>2</v>
      </c>
      <c r="K68" s="140">
        <f t="shared" si="9"/>
        <v>0.15269485590000001</v>
      </c>
      <c r="L68" s="140">
        <f t="shared" si="10"/>
        <v>0.15269485590000001</v>
      </c>
      <c r="M68" s="140">
        <f t="shared" si="11"/>
        <v>0</v>
      </c>
      <c r="N68" s="140">
        <f t="shared" si="12"/>
        <v>0</v>
      </c>
      <c r="O68" s="140">
        <f t="shared" si="13"/>
        <v>0</v>
      </c>
      <c r="P68" s="140">
        <f t="shared" si="14"/>
        <v>0</v>
      </c>
      <c r="Q68" s="156">
        <f t="shared" si="15"/>
        <v>19.376914533147101</v>
      </c>
      <c r="R68" s="125">
        <v>2.0405453992311302</v>
      </c>
      <c r="S68" s="73">
        <f t="shared" si="16"/>
        <v>0.3115807856930054</v>
      </c>
      <c r="T68" t="s">
        <v>793</v>
      </c>
    </row>
    <row r="69" spans="1:20">
      <c r="A69" s="618" t="s">
        <v>733</v>
      </c>
      <c r="B69" s="618" t="s">
        <v>797</v>
      </c>
      <c r="C69" s="618" t="s">
        <v>830</v>
      </c>
      <c r="D69" s="631" t="s">
        <v>513</v>
      </c>
      <c r="E69" s="631" t="s">
        <v>799</v>
      </c>
      <c r="F69" s="628"/>
      <c r="G69" s="628"/>
      <c r="H69" s="628"/>
      <c r="I69" s="626">
        <v>0.06</v>
      </c>
      <c r="J69" s="628">
        <v>14</v>
      </c>
      <c r="K69" s="140">
        <f t="shared" si="9"/>
        <v>0.84</v>
      </c>
      <c r="L69" s="140">
        <f t="shared" si="10"/>
        <v>0</v>
      </c>
      <c r="M69" s="140">
        <f t="shared" si="11"/>
        <v>0</v>
      </c>
      <c r="N69" s="140">
        <f t="shared" si="12"/>
        <v>0</v>
      </c>
      <c r="O69" s="140">
        <f t="shared" si="13"/>
        <v>0</v>
      </c>
      <c r="P69" s="140">
        <f t="shared" si="14"/>
        <v>0.84</v>
      </c>
      <c r="Q69" s="156">
        <f t="shared" si="15"/>
        <v>0.1928008407777192</v>
      </c>
      <c r="R69" s="125">
        <v>3.2133473462953202</v>
      </c>
      <c r="S69" s="73">
        <f t="shared" si="16"/>
        <v>2.699211770888069</v>
      </c>
      <c r="T69" t="s">
        <v>800</v>
      </c>
    </row>
    <row r="70" spans="1:20">
      <c r="A70" s="618" t="s">
        <v>733</v>
      </c>
      <c r="B70" s="618" t="s">
        <v>797</v>
      </c>
      <c r="C70" s="618" t="s">
        <v>831</v>
      </c>
      <c r="D70" s="631" t="s">
        <v>513</v>
      </c>
      <c r="E70" s="631" t="s">
        <v>799</v>
      </c>
      <c r="F70" s="628"/>
      <c r="G70" s="628"/>
      <c r="H70" s="628"/>
      <c r="I70" s="626">
        <v>0.16</v>
      </c>
      <c r="J70" s="628">
        <v>8</v>
      </c>
      <c r="K70" s="140">
        <f t="shared" si="9"/>
        <v>1.28</v>
      </c>
      <c r="L70" s="140">
        <f t="shared" si="10"/>
        <v>0</v>
      </c>
      <c r="M70" s="140">
        <f t="shared" si="11"/>
        <v>0</v>
      </c>
      <c r="N70" s="140">
        <f t="shared" si="12"/>
        <v>0</v>
      </c>
      <c r="O70" s="140">
        <f t="shared" si="13"/>
        <v>0</v>
      </c>
      <c r="P70" s="140">
        <f t="shared" si="14"/>
        <v>1.28</v>
      </c>
      <c r="Q70" s="156">
        <f t="shared" si="15"/>
        <v>0.35018392012611677</v>
      </c>
      <c r="R70" s="125">
        <v>2.1886495007882298</v>
      </c>
      <c r="S70" s="73">
        <f t="shared" si="16"/>
        <v>2.8014713610089341</v>
      </c>
      <c r="T70" t="s">
        <v>800</v>
      </c>
    </row>
    <row r="71" spans="1:20">
      <c r="A71" s="618" t="s">
        <v>733</v>
      </c>
      <c r="B71" s="618" t="s">
        <v>790</v>
      </c>
      <c r="C71" s="618" t="s">
        <v>829</v>
      </c>
      <c r="D71" s="631" t="s">
        <v>497</v>
      </c>
      <c r="E71" s="631" t="s">
        <v>792</v>
      </c>
      <c r="F71" s="628">
        <v>4.9539999999999997</v>
      </c>
      <c r="G71" s="628">
        <v>1.349</v>
      </c>
      <c r="H71" s="628"/>
      <c r="I71" s="626">
        <f>6*0.0254*7850*5*0.0254/16</f>
        <v>9.4959487500000002</v>
      </c>
      <c r="J71" s="628">
        <v>1</v>
      </c>
      <c r="K71" s="140">
        <f t="shared" si="9"/>
        <v>63.460912715017493</v>
      </c>
      <c r="L71" s="140">
        <f t="shared" si="10"/>
        <v>63.460912715017493</v>
      </c>
      <c r="M71" s="140">
        <f t="shared" si="11"/>
        <v>0</v>
      </c>
      <c r="N71" s="140">
        <f t="shared" si="12"/>
        <v>0</v>
      </c>
      <c r="O71" s="140">
        <f t="shared" si="13"/>
        <v>0</v>
      </c>
      <c r="P71" s="140">
        <f t="shared" si="14"/>
        <v>0</v>
      </c>
      <c r="Q71" s="156">
        <f t="shared" si="15"/>
        <v>19.376914533147101</v>
      </c>
      <c r="R71" s="125">
        <v>2.0405453992311302</v>
      </c>
      <c r="S71" s="73">
        <f t="shared" si="16"/>
        <v>129.49487347163728</v>
      </c>
      <c r="T71" t="s">
        <v>793</v>
      </c>
    </row>
    <row r="72" spans="1:20">
      <c r="A72" s="618" t="s">
        <v>733</v>
      </c>
      <c r="B72" s="618" t="s">
        <v>794</v>
      </c>
      <c r="C72" s="618" t="s">
        <v>812</v>
      </c>
      <c r="D72" s="631" t="s">
        <v>513</v>
      </c>
      <c r="E72" s="631" t="s">
        <v>799</v>
      </c>
      <c r="F72" s="628"/>
      <c r="G72" s="628">
        <v>3.5</v>
      </c>
      <c r="H72" s="628"/>
      <c r="I72" s="626">
        <f>8.2*0.454/0.3048</f>
        <v>12.213910761154855</v>
      </c>
      <c r="J72" s="628">
        <v>2</v>
      </c>
      <c r="K72" s="140">
        <f t="shared" si="9"/>
        <v>85.49737532808399</v>
      </c>
      <c r="L72" s="140">
        <f t="shared" si="10"/>
        <v>0</v>
      </c>
      <c r="M72" s="140">
        <f t="shared" si="11"/>
        <v>0</v>
      </c>
      <c r="N72" s="140">
        <f t="shared" si="12"/>
        <v>0</v>
      </c>
      <c r="O72" s="140">
        <f t="shared" si="13"/>
        <v>85.49737532808399</v>
      </c>
      <c r="P72" s="140">
        <f t="shared" si="14"/>
        <v>0</v>
      </c>
      <c r="Q72" s="156">
        <f t="shared" si="15"/>
        <v>26.731969690073562</v>
      </c>
      <c r="R72" s="157">
        <v>2.1886495007882298</v>
      </c>
      <c r="S72" s="73">
        <f t="shared" si="16"/>
        <v>187.12378783051494</v>
      </c>
      <c r="T72" t="s">
        <v>793</v>
      </c>
    </row>
    <row r="73" spans="1:20">
      <c r="A73" s="618" t="s">
        <v>733</v>
      </c>
      <c r="B73" s="618" t="s">
        <v>794</v>
      </c>
      <c r="C73" s="618" t="s">
        <v>832</v>
      </c>
      <c r="D73" s="631" t="s">
        <v>515</v>
      </c>
      <c r="E73" s="633" t="s">
        <v>792</v>
      </c>
      <c r="F73" s="628"/>
      <c r="G73" s="628">
        <v>3.5</v>
      </c>
      <c r="H73" s="628"/>
      <c r="I73" s="626">
        <f>12*0.0254*7850*3*0.0254/8</f>
        <v>22.790276999999996</v>
      </c>
      <c r="J73" s="628">
        <v>1</v>
      </c>
      <c r="K73" s="140">
        <f t="shared" si="9"/>
        <v>79.765969499999983</v>
      </c>
      <c r="L73" s="140">
        <f t="shared" si="10"/>
        <v>0</v>
      </c>
      <c r="M73" s="140">
        <f t="shared" si="11"/>
        <v>0</v>
      </c>
      <c r="N73" s="140">
        <f t="shared" si="12"/>
        <v>0</v>
      </c>
      <c r="O73" s="140">
        <f t="shared" si="13"/>
        <v>79.765969499999983</v>
      </c>
      <c r="P73" s="140">
        <f t="shared" si="14"/>
        <v>0</v>
      </c>
      <c r="Q73" s="156">
        <f t="shared" si="15"/>
        <v>49.879928378875469</v>
      </c>
      <c r="R73" s="157">
        <v>2.1886495007882298</v>
      </c>
      <c r="S73" s="73">
        <f t="shared" si="16"/>
        <v>174.57974932606413</v>
      </c>
      <c r="T73" t="s">
        <v>793</v>
      </c>
    </row>
    <row r="74" spans="1:20">
      <c r="A74" s="618" t="s">
        <v>733</v>
      </c>
      <c r="B74" s="618" t="s">
        <v>794</v>
      </c>
      <c r="C74" s="618" t="s">
        <v>833</v>
      </c>
      <c r="D74" s="631" t="s">
        <v>513</v>
      </c>
      <c r="E74" s="631" t="s">
        <v>799</v>
      </c>
      <c r="F74" s="628"/>
      <c r="G74" s="628">
        <v>3.202</v>
      </c>
      <c r="H74" s="628"/>
      <c r="I74" s="626">
        <f>6*0.0254*7850*0.0254*0.25</f>
        <v>7.5967589999999996</v>
      </c>
      <c r="J74" s="628">
        <v>1</v>
      </c>
      <c r="K74" s="140">
        <f t="shared" si="9"/>
        <v>24.324822317999999</v>
      </c>
      <c r="L74" s="140">
        <f t="shared" si="10"/>
        <v>0</v>
      </c>
      <c r="M74" s="140">
        <f t="shared" si="11"/>
        <v>0</v>
      </c>
      <c r="N74" s="140">
        <f t="shared" si="12"/>
        <v>0</v>
      </c>
      <c r="O74" s="140">
        <f t="shared" si="13"/>
        <v>24.324822317999999</v>
      </c>
      <c r="P74" s="140">
        <f t="shared" si="14"/>
        <v>0</v>
      </c>
      <c r="Q74" s="156">
        <f t="shared" si="15"/>
        <v>16.626642792958492</v>
      </c>
      <c r="R74" s="125">
        <v>2.1886495007882298</v>
      </c>
      <c r="S74" s="73">
        <f t="shared" si="16"/>
        <v>53.23851022305309</v>
      </c>
      <c r="T74" t="s">
        <v>793</v>
      </c>
    </row>
    <row r="75" spans="1:20">
      <c r="A75" s="618" t="s">
        <v>733</v>
      </c>
      <c r="B75" s="618" t="s">
        <v>794</v>
      </c>
      <c r="C75" s="618" t="s">
        <v>826</v>
      </c>
      <c r="D75" s="631" t="s">
        <v>513</v>
      </c>
      <c r="E75" s="631" t="s">
        <v>799</v>
      </c>
      <c r="F75" s="628"/>
      <c r="G75" s="628">
        <v>3.202</v>
      </c>
      <c r="H75" s="628"/>
      <c r="I75" s="626">
        <f>2*0.0254*7850*0.0254*0.25</f>
        <v>2.5322529999999999</v>
      </c>
      <c r="J75" s="628">
        <v>1</v>
      </c>
      <c r="K75" s="140">
        <f t="shared" si="9"/>
        <v>8.1082741059999996</v>
      </c>
      <c r="L75" s="140">
        <f t="shared" si="10"/>
        <v>0</v>
      </c>
      <c r="M75" s="140">
        <f t="shared" si="11"/>
        <v>0</v>
      </c>
      <c r="N75" s="140">
        <f t="shared" si="12"/>
        <v>0</v>
      </c>
      <c r="O75" s="140">
        <f t="shared" si="13"/>
        <v>8.1082741059999996</v>
      </c>
      <c r="P75" s="140">
        <f t="shared" si="14"/>
        <v>0</v>
      </c>
      <c r="Q75" s="156">
        <f t="shared" si="15"/>
        <v>5.5422142643194974</v>
      </c>
      <c r="R75" s="125">
        <v>2.1886495007882298</v>
      </c>
      <c r="S75" s="73">
        <f t="shared" si="16"/>
        <v>17.746170074351031</v>
      </c>
      <c r="T75" t="s">
        <v>793</v>
      </c>
    </row>
    <row r="76" spans="1:20">
      <c r="A76" s="618" t="s">
        <v>733</v>
      </c>
      <c r="B76" s="618" t="s">
        <v>815</v>
      </c>
      <c r="C76" s="618" t="s">
        <v>816</v>
      </c>
      <c r="D76" s="631" t="s">
        <v>515</v>
      </c>
      <c r="E76" s="631" t="s">
        <v>817</v>
      </c>
      <c r="F76" s="628"/>
      <c r="G76" s="628">
        <v>3.202</v>
      </c>
      <c r="H76" s="628"/>
      <c r="I76" s="626">
        <v>4.05</v>
      </c>
      <c r="J76" s="628">
        <v>1</v>
      </c>
      <c r="K76" s="140">
        <f t="shared" si="9"/>
        <v>12.9681</v>
      </c>
      <c r="L76" s="140">
        <f t="shared" si="10"/>
        <v>0</v>
      </c>
      <c r="M76" s="140">
        <f t="shared" si="11"/>
        <v>12.9681</v>
      </c>
      <c r="N76" s="140">
        <f t="shared" si="12"/>
        <v>0</v>
      </c>
      <c r="O76" s="140">
        <f t="shared" si="13"/>
        <v>0</v>
      </c>
      <c r="P76" s="140">
        <f t="shared" si="14"/>
        <v>0</v>
      </c>
      <c r="Q76" s="156">
        <f t="shared" si="15"/>
        <v>15.75520231213871</v>
      </c>
      <c r="R76" s="125">
        <v>3.8901734104046199</v>
      </c>
      <c r="S76" s="73">
        <f t="shared" si="16"/>
        <v>50.448157803468149</v>
      </c>
      <c r="T76" t="s">
        <v>793</v>
      </c>
    </row>
    <row r="77" spans="1:20">
      <c r="A77" s="618" t="s">
        <v>733</v>
      </c>
      <c r="B77" s="618" t="s">
        <v>794</v>
      </c>
      <c r="C77" s="618" t="s">
        <v>833</v>
      </c>
      <c r="D77" s="631" t="s">
        <v>513</v>
      </c>
      <c r="E77" s="631" t="s">
        <v>799</v>
      </c>
      <c r="F77" s="628"/>
      <c r="G77" s="628">
        <v>1.5229999999999999</v>
      </c>
      <c r="H77" s="628"/>
      <c r="I77" s="626">
        <f>6*0.0254*7850*0.0254*0.25</f>
        <v>7.5967589999999996</v>
      </c>
      <c r="J77" s="628">
        <v>1</v>
      </c>
      <c r="K77" s="140">
        <f t="shared" si="9"/>
        <v>11.569863956999999</v>
      </c>
      <c r="L77" s="140">
        <f t="shared" si="10"/>
        <v>0</v>
      </c>
      <c r="M77" s="140">
        <f t="shared" si="11"/>
        <v>0</v>
      </c>
      <c r="N77" s="140">
        <f t="shared" si="12"/>
        <v>0</v>
      </c>
      <c r="O77" s="140">
        <f t="shared" si="13"/>
        <v>11.569863956999999</v>
      </c>
      <c r="P77" s="140">
        <f t="shared" si="14"/>
        <v>0</v>
      </c>
      <c r="Q77" s="156">
        <f t="shared" si="15"/>
        <v>16.626642792958492</v>
      </c>
      <c r="R77" s="125">
        <v>2.1886495007882298</v>
      </c>
      <c r="S77" s="73">
        <f t="shared" si="16"/>
        <v>25.32237697367578</v>
      </c>
      <c r="T77" t="s">
        <v>793</v>
      </c>
    </row>
    <row r="78" spans="1:20">
      <c r="A78" s="618" t="s">
        <v>733</v>
      </c>
      <c r="B78" s="618" t="s">
        <v>794</v>
      </c>
      <c r="C78" s="618" t="s">
        <v>826</v>
      </c>
      <c r="D78" s="631" t="s">
        <v>513</v>
      </c>
      <c r="E78" s="631" t="s">
        <v>799</v>
      </c>
      <c r="F78" s="628"/>
      <c r="G78" s="628">
        <v>1.5229999999999999</v>
      </c>
      <c r="H78" s="628"/>
      <c r="I78" s="626">
        <f>2*0.0254*7850*0.0254*0.25</f>
        <v>2.5322529999999999</v>
      </c>
      <c r="J78" s="628">
        <v>1</v>
      </c>
      <c r="K78" s="140">
        <f t="shared" si="9"/>
        <v>3.8566213189999994</v>
      </c>
      <c r="L78" s="140">
        <f t="shared" si="10"/>
        <v>0</v>
      </c>
      <c r="M78" s="140">
        <f t="shared" si="11"/>
        <v>0</v>
      </c>
      <c r="N78" s="140">
        <f t="shared" si="12"/>
        <v>0</v>
      </c>
      <c r="O78" s="140">
        <f t="shared" si="13"/>
        <v>3.8566213189999994</v>
      </c>
      <c r="P78" s="140">
        <f t="shared" si="14"/>
        <v>0</v>
      </c>
      <c r="Q78" s="156">
        <f t="shared" si="15"/>
        <v>5.5422142643194974</v>
      </c>
      <c r="R78" s="125">
        <v>2.1886495007882298</v>
      </c>
      <c r="S78" s="73">
        <f t="shared" si="16"/>
        <v>8.4407923245585934</v>
      </c>
      <c r="T78" t="s">
        <v>793</v>
      </c>
    </row>
    <row r="79" spans="1:20">
      <c r="A79" s="618" t="s">
        <v>733</v>
      </c>
      <c r="B79" s="618" t="s">
        <v>815</v>
      </c>
      <c r="C79" s="618" t="s">
        <v>816</v>
      </c>
      <c r="D79" s="631" t="s">
        <v>515</v>
      </c>
      <c r="E79" s="631" t="s">
        <v>817</v>
      </c>
      <c r="F79" s="628"/>
      <c r="G79" s="628">
        <v>1.5229999999999999</v>
      </c>
      <c r="H79" s="628"/>
      <c r="I79" s="626">
        <v>4.05</v>
      </c>
      <c r="J79" s="628">
        <v>1</v>
      </c>
      <c r="K79" s="140">
        <f t="shared" si="9"/>
        <v>6.1681499999999998</v>
      </c>
      <c r="L79" s="140">
        <f t="shared" si="10"/>
        <v>0</v>
      </c>
      <c r="M79" s="140">
        <f t="shared" si="11"/>
        <v>6.1681499999999998</v>
      </c>
      <c r="N79" s="140">
        <f t="shared" si="12"/>
        <v>0</v>
      </c>
      <c r="O79" s="140">
        <f t="shared" si="13"/>
        <v>0</v>
      </c>
      <c r="P79" s="140">
        <f t="shared" si="14"/>
        <v>0</v>
      </c>
      <c r="Q79" s="156">
        <f t="shared" si="15"/>
        <v>15.75520231213871</v>
      </c>
      <c r="R79" s="125">
        <v>3.8901734104046199</v>
      </c>
      <c r="S79" s="73">
        <f t="shared" si="16"/>
        <v>23.995173121387257</v>
      </c>
      <c r="T79" t="s">
        <v>793</v>
      </c>
    </row>
    <row r="80" spans="1:20">
      <c r="A80" s="618" t="s">
        <v>733</v>
      </c>
      <c r="B80" s="618" t="s">
        <v>794</v>
      </c>
      <c r="C80" s="618" t="s">
        <v>833</v>
      </c>
      <c r="D80" s="631" t="s">
        <v>513</v>
      </c>
      <c r="E80" s="631" t="s">
        <v>799</v>
      </c>
      <c r="F80" s="628"/>
      <c r="G80" s="628">
        <v>2.2040000000000002</v>
      </c>
      <c r="H80" s="628"/>
      <c r="I80" s="626">
        <f>6*0.0254*7850*0.0254*0.25</f>
        <v>7.5967589999999996</v>
      </c>
      <c r="J80" s="628">
        <v>1</v>
      </c>
      <c r="K80" s="140">
        <f t="shared" si="9"/>
        <v>16.743256836</v>
      </c>
      <c r="L80" s="140">
        <f t="shared" si="10"/>
        <v>0</v>
      </c>
      <c r="M80" s="140">
        <f t="shared" si="11"/>
        <v>0</v>
      </c>
      <c r="N80" s="140">
        <f t="shared" si="12"/>
        <v>0</v>
      </c>
      <c r="O80" s="140">
        <f t="shared" si="13"/>
        <v>16.743256836</v>
      </c>
      <c r="P80" s="140">
        <f t="shared" si="14"/>
        <v>0</v>
      </c>
      <c r="Q80" s="156">
        <f t="shared" si="15"/>
        <v>16.626642792958492</v>
      </c>
      <c r="R80" s="125">
        <v>2.1886495007882298</v>
      </c>
      <c r="S80" s="73">
        <f t="shared" si="16"/>
        <v>36.64512071568052</v>
      </c>
      <c r="T80" t="s">
        <v>793</v>
      </c>
    </row>
    <row r="81" spans="1:20">
      <c r="A81" s="618" t="s">
        <v>733</v>
      </c>
      <c r="B81" s="618" t="s">
        <v>794</v>
      </c>
      <c r="C81" s="618" t="s">
        <v>826</v>
      </c>
      <c r="D81" s="631" t="s">
        <v>513</v>
      </c>
      <c r="E81" s="631" t="s">
        <v>799</v>
      </c>
      <c r="F81" s="628"/>
      <c r="G81" s="628">
        <v>2.2040000000000002</v>
      </c>
      <c r="H81" s="628"/>
      <c r="I81" s="626">
        <f>2*0.0254*7850*0.0254*0.25</f>
        <v>2.5322529999999999</v>
      </c>
      <c r="J81" s="628">
        <v>1</v>
      </c>
      <c r="K81" s="140">
        <f t="shared" si="9"/>
        <v>5.5810856119999999</v>
      </c>
      <c r="L81" s="140">
        <f t="shared" si="10"/>
        <v>0</v>
      </c>
      <c r="M81" s="140">
        <f t="shared" si="11"/>
        <v>0</v>
      </c>
      <c r="N81" s="140">
        <f t="shared" si="12"/>
        <v>0</v>
      </c>
      <c r="O81" s="140">
        <f t="shared" si="13"/>
        <v>5.5810856119999999</v>
      </c>
      <c r="P81" s="140">
        <f t="shared" si="14"/>
        <v>0</v>
      </c>
      <c r="Q81" s="156">
        <f t="shared" si="15"/>
        <v>5.5422142643194974</v>
      </c>
      <c r="R81" s="125">
        <v>2.1886495007882298</v>
      </c>
      <c r="S81" s="73">
        <f t="shared" si="16"/>
        <v>12.215040238560173</v>
      </c>
      <c r="T81" t="s">
        <v>793</v>
      </c>
    </row>
    <row r="82" spans="1:20">
      <c r="A82" s="618" t="s">
        <v>733</v>
      </c>
      <c r="B82" s="618" t="s">
        <v>815</v>
      </c>
      <c r="C82" s="618" t="s">
        <v>816</v>
      </c>
      <c r="D82" s="631" t="s">
        <v>515</v>
      </c>
      <c r="E82" s="631" t="s">
        <v>817</v>
      </c>
      <c r="F82" s="628"/>
      <c r="G82" s="628">
        <v>2.2040000000000002</v>
      </c>
      <c r="H82" s="628"/>
      <c r="I82" s="626">
        <v>4.05</v>
      </c>
      <c r="J82" s="628">
        <v>1</v>
      </c>
      <c r="K82" s="140">
        <f t="shared" si="9"/>
        <v>8.9261999999999997</v>
      </c>
      <c r="L82" s="140">
        <f t="shared" si="10"/>
        <v>0</v>
      </c>
      <c r="M82" s="140">
        <f t="shared" si="11"/>
        <v>8.9261999999999997</v>
      </c>
      <c r="N82" s="140">
        <f t="shared" si="12"/>
        <v>0</v>
      </c>
      <c r="O82" s="140">
        <f t="shared" si="13"/>
        <v>0</v>
      </c>
      <c r="P82" s="140">
        <f t="shared" si="14"/>
        <v>0</v>
      </c>
      <c r="Q82" s="156">
        <f t="shared" si="15"/>
        <v>15.75520231213871</v>
      </c>
      <c r="R82" s="125">
        <v>3.8901734104046199</v>
      </c>
      <c r="S82" s="73">
        <f t="shared" si="16"/>
        <v>34.72446589595372</v>
      </c>
      <c r="T82" t="s">
        <v>793</v>
      </c>
    </row>
    <row r="83" spans="1:20">
      <c r="A83" s="618" t="s">
        <v>733</v>
      </c>
      <c r="B83" s="618" t="s">
        <v>797</v>
      </c>
      <c r="C83" s="618" t="s">
        <v>801</v>
      </c>
      <c r="D83" s="631" t="s">
        <v>513</v>
      </c>
      <c r="E83" s="631" t="s">
        <v>799</v>
      </c>
      <c r="F83" s="628"/>
      <c r="G83" s="628"/>
      <c r="H83" s="628"/>
      <c r="I83" s="626">
        <v>0.1</v>
      </c>
      <c r="J83" s="628">
        <v>16</v>
      </c>
      <c r="K83" s="140">
        <f t="shared" si="9"/>
        <v>1.6</v>
      </c>
      <c r="L83" s="140">
        <f t="shared" si="10"/>
        <v>0</v>
      </c>
      <c r="M83" s="140">
        <f t="shared" si="11"/>
        <v>0</v>
      </c>
      <c r="N83" s="140">
        <f t="shared" si="12"/>
        <v>0</v>
      </c>
      <c r="O83" s="140">
        <f t="shared" si="13"/>
        <v>0</v>
      </c>
      <c r="P83" s="140">
        <f t="shared" si="14"/>
        <v>1.6</v>
      </c>
      <c r="Q83" s="156">
        <f t="shared" si="15"/>
        <v>0.32133473462953205</v>
      </c>
      <c r="R83" s="125">
        <v>3.2133473462953202</v>
      </c>
      <c r="S83" s="73">
        <f t="shared" si="16"/>
        <v>5.1413557540725128</v>
      </c>
      <c r="T83" t="s">
        <v>800</v>
      </c>
    </row>
    <row r="84" spans="1:20">
      <c r="A84" s="618" t="s">
        <v>733</v>
      </c>
      <c r="B84" s="618" t="s">
        <v>794</v>
      </c>
      <c r="C84" s="618" t="s">
        <v>826</v>
      </c>
      <c r="D84" s="631" t="s">
        <v>513</v>
      </c>
      <c r="E84" s="631" t="s">
        <v>799</v>
      </c>
      <c r="F84" s="628"/>
      <c r="G84" s="628">
        <v>0.45300000000000001</v>
      </c>
      <c r="H84" s="628"/>
      <c r="I84" s="626">
        <f>2*0.0254*7850*0.0254*0.25</f>
        <v>2.5322529999999999</v>
      </c>
      <c r="J84" s="628">
        <v>1</v>
      </c>
      <c r="K84" s="140">
        <f t="shared" si="9"/>
        <v>1.1471106090000001</v>
      </c>
      <c r="L84" s="140">
        <f t="shared" si="10"/>
        <v>0</v>
      </c>
      <c r="M84" s="140">
        <f t="shared" si="11"/>
        <v>0</v>
      </c>
      <c r="N84" s="140">
        <f t="shared" si="12"/>
        <v>0</v>
      </c>
      <c r="O84" s="140">
        <f t="shared" si="13"/>
        <v>1.1471106090000001</v>
      </c>
      <c r="P84" s="140">
        <f t="shared" si="14"/>
        <v>0</v>
      </c>
      <c r="Q84" s="156">
        <f t="shared" si="15"/>
        <v>5.5422142643194974</v>
      </c>
      <c r="R84" s="125">
        <v>2.1886495007882298</v>
      </c>
      <c r="S84" s="73">
        <f t="shared" si="16"/>
        <v>2.5106230617367324</v>
      </c>
      <c r="T84" t="s">
        <v>793</v>
      </c>
    </row>
    <row r="85" spans="1:20">
      <c r="A85" s="618" t="s">
        <v>733</v>
      </c>
      <c r="B85" s="618" t="s">
        <v>815</v>
      </c>
      <c r="C85" s="618" t="s">
        <v>816</v>
      </c>
      <c r="D85" s="631" t="s">
        <v>515</v>
      </c>
      <c r="E85" s="631" t="s">
        <v>817</v>
      </c>
      <c r="F85" s="628"/>
      <c r="G85" s="628">
        <v>0.45300000000000001</v>
      </c>
      <c r="H85" s="628"/>
      <c r="I85" s="626">
        <v>4.05</v>
      </c>
      <c r="J85" s="628">
        <v>1</v>
      </c>
      <c r="K85" s="140">
        <f t="shared" si="9"/>
        <v>1.8346499999999999</v>
      </c>
      <c r="L85" s="140">
        <f t="shared" si="10"/>
        <v>0</v>
      </c>
      <c r="M85" s="140">
        <f t="shared" si="11"/>
        <v>1.8346499999999999</v>
      </c>
      <c r="N85" s="140">
        <f t="shared" si="12"/>
        <v>0</v>
      </c>
      <c r="O85" s="140">
        <f t="shared" si="13"/>
        <v>0</v>
      </c>
      <c r="P85" s="140">
        <f t="shared" si="14"/>
        <v>0</v>
      </c>
      <c r="Q85" s="156">
        <f t="shared" si="15"/>
        <v>15.75520231213871</v>
      </c>
      <c r="R85" s="125">
        <v>3.8901734104046199</v>
      </c>
      <c r="S85" s="73">
        <f t="shared" si="16"/>
        <v>7.1371066473988352</v>
      </c>
      <c r="T85" t="s">
        <v>793</v>
      </c>
    </row>
    <row r="86" spans="1:20">
      <c r="A86" s="618" t="s">
        <v>733</v>
      </c>
      <c r="B86" s="618" t="s">
        <v>818</v>
      </c>
      <c r="C86" s="618" t="s">
        <v>834</v>
      </c>
      <c r="D86" s="631" t="s">
        <v>513</v>
      </c>
      <c r="E86" s="631" t="s">
        <v>799</v>
      </c>
      <c r="F86" s="628"/>
      <c r="G86" s="628"/>
      <c r="H86" s="628"/>
      <c r="I86" s="626">
        <v>0.4</v>
      </c>
      <c r="J86" s="628">
        <v>1</v>
      </c>
      <c r="K86" s="140">
        <f t="shared" si="9"/>
        <v>0.4</v>
      </c>
      <c r="L86" s="140">
        <f t="shared" si="10"/>
        <v>0</v>
      </c>
      <c r="M86" s="140">
        <f t="shared" si="11"/>
        <v>0</v>
      </c>
      <c r="N86" s="140">
        <f t="shared" si="12"/>
        <v>0.4</v>
      </c>
      <c r="O86" s="140">
        <f t="shared" si="13"/>
        <v>0</v>
      </c>
      <c r="P86" s="140">
        <f t="shared" si="14"/>
        <v>0</v>
      </c>
      <c r="Q86" s="156">
        <f t="shared" si="15"/>
        <v>2.2280609563846561</v>
      </c>
      <c r="R86" s="125">
        <v>5.5701523909616402</v>
      </c>
      <c r="S86" s="73">
        <f t="shared" si="16"/>
        <v>2.2280609563846561</v>
      </c>
      <c r="T86" t="s">
        <v>793</v>
      </c>
    </row>
    <row r="87" spans="1:20">
      <c r="A87" s="618" t="s">
        <v>733</v>
      </c>
      <c r="B87" s="618" t="s">
        <v>794</v>
      </c>
      <c r="C87" s="618" t="s">
        <v>833</v>
      </c>
      <c r="D87" s="631" t="s">
        <v>513</v>
      </c>
      <c r="E87" s="631" t="s">
        <v>799</v>
      </c>
      <c r="F87" s="628"/>
      <c r="G87" s="628">
        <v>2.4369999999999998</v>
      </c>
      <c r="H87" s="628"/>
      <c r="I87" s="626">
        <f>6*0.0254*7850*0.0254*0.25</f>
        <v>7.5967589999999996</v>
      </c>
      <c r="J87" s="628">
        <v>1</v>
      </c>
      <c r="K87" s="140">
        <f t="shared" si="9"/>
        <v>18.513301682999998</v>
      </c>
      <c r="L87" s="140">
        <f t="shared" si="10"/>
        <v>0</v>
      </c>
      <c r="M87" s="140">
        <f t="shared" si="11"/>
        <v>0</v>
      </c>
      <c r="N87" s="140">
        <f t="shared" si="12"/>
        <v>0</v>
      </c>
      <c r="O87" s="140">
        <f t="shared" si="13"/>
        <v>18.513301682999998</v>
      </c>
      <c r="P87" s="140">
        <f t="shared" si="14"/>
        <v>0</v>
      </c>
      <c r="Q87" s="156">
        <f t="shared" si="15"/>
        <v>16.626642792958492</v>
      </c>
      <c r="R87" s="125">
        <v>2.1886495007882298</v>
      </c>
      <c r="S87" s="73">
        <f t="shared" si="16"/>
        <v>40.51912848643984</v>
      </c>
      <c r="T87" t="s">
        <v>793</v>
      </c>
    </row>
    <row r="88" spans="1:20">
      <c r="A88" s="618" t="s">
        <v>733</v>
      </c>
      <c r="B88" s="618" t="s">
        <v>794</v>
      </c>
      <c r="C88" s="618" t="s">
        <v>826</v>
      </c>
      <c r="D88" s="631" t="s">
        <v>513</v>
      </c>
      <c r="E88" s="631" t="s">
        <v>799</v>
      </c>
      <c r="F88" s="628"/>
      <c r="G88" s="628">
        <v>2.7349999999999999</v>
      </c>
      <c r="H88" s="628"/>
      <c r="I88" s="626">
        <f>2*0.0254*7850*0.0254*0.25</f>
        <v>2.5322529999999999</v>
      </c>
      <c r="J88" s="628">
        <v>1</v>
      </c>
      <c r="K88" s="140">
        <f t="shared" si="9"/>
        <v>6.9257119549999997</v>
      </c>
      <c r="L88" s="140">
        <f t="shared" si="10"/>
        <v>0</v>
      </c>
      <c r="M88" s="140">
        <f t="shared" si="11"/>
        <v>0</v>
      </c>
      <c r="N88" s="140">
        <f t="shared" si="12"/>
        <v>0</v>
      </c>
      <c r="O88" s="140">
        <f t="shared" si="13"/>
        <v>6.9257119549999997</v>
      </c>
      <c r="P88" s="140">
        <f t="shared" si="14"/>
        <v>0</v>
      </c>
      <c r="Q88" s="156">
        <f t="shared" si="15"/>
        <v>5.5422142643194974</v>
      </c>
      <c r="R88" s="125">
        <v>2.1886495007882298</v>
      </c>
      <c r="S88" s="73">
        <f t="shared" si="16"/>
        <v>15.157956012913825</v>
      </c>
      <c r="T88" t="s">
        <v>793</v>
      </c>
    </row>
    <row r="89" spans="1:20">
      <c r="A89" s="618" t="s">
        <v>733</v>
      </c>
      <c r="B89" s="618" t="s">
        <v>815</v>
      </c>
      <c r="C89" s="618" t="s">
        <v>816</v>
      </c>
      <c r="D89" s="631" t="s">
        <v>515</v>
      </c>
      <c r="E89" s="631" t="s">
        <v>817</v>
      </c>
      <c r="F89" s="628"/>
      <c r="G89" s="628">
        <v>2.7349999999999999</v>
      </c>
      <c r="H89" s="628"/>
      <c r="I89" s="626">
        <v>4.05</v>
      </c>
      <c r="J89" s="628">
        <v>1</v>
      </c>
      <c r="K89" s="140">
        <f t="shared" si="9"/>
        <v>11.076749999999999</v>
      </c>
      <c r="L89" s="140">
        <f t="shared" si="10"/>
        <v>0</v>
      </c>
      <c r="M89" s="140">
        <f t="shared" si="11"/>
        <v>11.076749999999999</v>
      </c>
      <c r="N89" s="140">
        <f t="shared" si="12"/>
        <v>0</v>
      </c>
      <c r="O89" s="140">
        <f t="shared" si="13"/>
        <v>0</v>
      </c>
      <c r="P89" s="140">
        <f t="shared" si="14"/>
        <v>0</v>
      </c>
      <c r="Q89" s="156">
        <f t="shared" si="15"/>
        <v>15.75520231213871</v>
      </c>
      <c r="R89" s="125">
        <v>3.8901734104046199</v>
      </c>
      <c r="S89" s="73">
        <f t="shared" si="16"/>
        <v>43.090478323699372</v>
      </c>
      <c r="T89" t="s">
        <v>793</v>
      </c>
    </row>
    <row r="90" spans="1:20">
      <c r="A90" s="618" t="s">
        <v>733</v>
      </c>
      <c r="B90" s="618" t="s">
        <v>794</v>
      </c>
      <c r="C90" s="618" t="s">
        <v>832</v>
      </c>
      <c r="D90" s="631" t="s">
        <v>515</v>
      </c>
      <c r="E90" s="633" t="s">
        <v>792</v>
      </c>
      <c r="F90" s="628"/>
      <c r="G90" s="628">
        <v>0.152</v>
      </c>
      <c r="H90" s="628"/>
      <c r="I90" s="626">
        <f>12*0.0254*7850*3*0.0254/8</f>
        <v>22.790276999999996</v>
      </c>
      <c r="J90" s="628">
        <v>2</v>
      </c>
      <c r="K90" s="140">
        <f t="shared" si="9"/>
        <v>6.9282442079999988</v>
      </c>
      <c r="L90" s="140">
        <f t="shared" si="10"/>
        <v>0</v>
      </c>
      <c r="M90" s="140">
        <f t="shared" si="11"/>
        <v>0</v>
      </c>
      <c r="N90" s="140">
        <f t="shared" si="12"/>
        <v>0</v>
      </c>
      <c r="O90" s="140">
        <f t="shared" si="13"/>
        <v>6.9282442079999988</v>
      </c>
      <c r="P90" s="140">
        <f t="shared" si="14"/>
        <v>0</v>
      </c>
      <c r="Q90" s="156">
        <f t="shared" si="15"/>
        <v>49.879928378875469</v>
      </c>
      <c r="R90" s="157">
        <v>2.1886495007882298</v>
      </c>
      <c r="S90" s="73">
        <f t="shared" si="16"/>
        <v>15.163498227178142</v>
      </c>
      <c r="T90" t="s">
        <v>793</v>
      </c>
    </row>
    <row r="91" spans="1:20">
      <c r="A91" s="618" t="s">
        <v>733</v>
      </c>
      <c r="B91" s="618" t="s">
        <v>794</v>
      </c>
      <c r="C91" s="618" t="s">
        <v>835</v>
      </c>
      <c r="D91" s="631" t="s">
        <v>515</v>
      </c>
      <c r="E91" s="633" t="s">
        <v>792</v>
      </c>
      <c r="F91" s="628"/>
      <c r="G91" s="628">
        <v>1.373</v>
      </c>
      <c r="H91" s="628"/>
      <c r="I91" s="626">
        <f>12*0.0254*7850*3*0.0254/8</f>
        <v>22.790276999999996</v>
      </c>
      <c r="J91" s="628">
        <v>2</v>
      </c>
      <c r="K91" s="140">
        <f t="shared" si="9"/>
        <v>62.582100641999986</v>
      </c>
      <c r="L91" s="140">
        <f t="shared" si="10"/>
        <v>0</v>
      </c>
      <c r="M91" s="140">
        <f t="shared" si="11"/>
        <v>0</v>
      </c>
      <c r="N91" s="140">
        <f t="shared" si="12"/>
        <v>0</v>
      </c>
      <c r="O91" s="140">
        <f t="shared" si="13"/>
        <v>62.582100641999986</v>
      </c>
      <c r="P91" s="140">
        <f t="shared" si="14"/>
        <v>0</v>
      </c>
      <c r="Q91" s="156">
        <f t="shared" si="15"/>
        <v>49.879928378875469</v>
      </c>
      <c r="R91" s="157">
        <v>2.1886495007882298</v>
      </c>
      <c r="S91" s="73">
        <f t="shared" si="16"/>
        <v>136.97028332839201</v>
      </c>
      <c r="T91" t="s">
        <v>793</v>
      </c>
    </row>
    <row r="92" spans="1:20">
      <c r="A92" s="618" t="s">
        <v>733</v>
      </c>
      <c r="B92" s="618" t="s">
        <v>794</v>
      </c>
      <c r="C92" s="618" t="s">
        <v>835</v>
      </c>
      <c r="D92" s="631" t="s">
        <v>515</v>
      </c>
      <c r="E92" s="633" t="s">
        <v>792</v>
      </c>
      <c r="F92" s="628"/>
      <c r="G92" s="628">
        <v>0.85199999999999998</v>
      </c>
      <c r="H92" s="628"/>
      <c r="I92" s="626">
        <f>12*0.0254*7850*3*0.0254/8</f>
        <v>22.790276999999996</v>
      </c>
      <c r="J92" s="628">
        <v>2</v>
      </c>
      <c r="K92" s="140">
        <f t="shared" si="9"/>
        <v>38.834632007999993</v>
      </c>
      <c r="L92" s="140">
        <f t="shared" si="10"/>
        <v>0</v>
      </c>
      <c r="M92" s="140">
        <f t="shared" si="11"/>
        <v>0</v>
      </c>
      <c r="N92" s="140">
        <f t="shared" si="12"/>
        <v>0</v>
      </c>
      <c r="O92" s="140">
        <f t="shared" si="13"/>
        <v>38.834632007999993</v>
      </c>
      <c r="P92" s="140">
        <f t="shared" si="14"/>
        <v>0</v>
      </c>
      <c r="Q92" s="156">
        <f t="shared" si="15"/>
        <v>49.879928378875469</v>
      </c>
      <c r="R92" s="157">
        <v>2.1886495007882298</v>
      </c>
      <c r="S92" s="73">
        <f t="shared" si="16"/>
        <v>84.995397957603799</v>
      </c>
      <c r="T92" t="s">
        <v>793</v>
      </c>
    </row>
    <row r="93" spans="1:20">
      <c r="A93" s="618" t="s">
        <v>733</v>
      </c>
      <c r="B93" s="618" t="s">
        <v>794</v>
      </c>
      <c r="C93" s="618" t="s">
        <v>835</v>
      </c>
      <c r="D93" s="631" t="s">
        <v>515</v>
      </c>
      <c r="E93" s="633" t="s">
        <v>792</v>
      </c>
      <c r="F93" s="628"/>
      <c r="G93" s="628">
        <v>0.7</v>
      </c>
      <c r="H93" s="628"/>
      <c r="I93" s="626">
        <f>12*0.0254*7850*3*0.0254/8</f>
        <v>22.790276999999996</v>
      </c>
      <c r="J93" s="628">
        <v>2</v>
      </c>
      <c r="K93" s="140">
        <f t="shared" si="9"/>
        <v>31.906387799999994</v>
      </c>
      <c r="L93" s="140">
        <f t="shared" si="10"/>
        <v>0</v>
      </c>
      <c r="M93" s="140">
        <f t="shared" si="11"/>
        <v>0</v>
      </c>
      <c r="N93" s="140">
        <f t="shared" si="12"/>
        <v>0</v>
      </c>
      <c r="O93" s="140">
        <f t="shared" si="13"/>
        <v>31.906387799999994</v>
      </c>
      <c r="P93" s="140">
        <f t="shared" si="14"/>
        <v>0</v>
      </c>
      <c r="Q93" s="156">
        <f t="shared" si="15"/>
        <v>49.879928378875469</v>
      </c>
      <c r="R93" s="157">
        <v>2.1886495007882298</v>
      </c>
      <c r="S93" s="73">
        <f t="shared" si="16"/>
        <v>69.831899730425647</v>
      </c>
      <c r="T93" t="s">
        <v>793</v>
      </c>
    </row>
    <row r="94" spans="1:20">
      <c r="A94" s="618" t="s">
        <v>733</v>
      </c>
      <c r="B94" s="618" t="s">
        <v>794</v>
      </c>
      <c r="C94" s="618" t="s">
        <v>835</v>
      </c>
      <c r="D94" s="631" t="s">
        <v>515</v>
      </c>
      <c r="E94" s="633" t="s">
        <v>792</v>
      </c>
      <c r="F94" s="628"/>
      <c r="G94" s="628">
        <v>1.252</v>
      </c>
      <c r="H94" s="628"/>
      <c r="I94" s="626">
        <f>12*0.0254*7850*3*0.0254/8</f>
        <v>22.790276999999996</v>
      </c>
      <c r="J94" s="628">
        <v>2</v>
      </c>
      <c r="K94" s="140">
        <f t="shared" si="9"/>
        <v>57.066853607999988</v>
      </c>
      <c r="L94" s="140">
        <f t="shared" si="10"/>
        <v>0</v>
      </c>
      <c r="M94" s="140">
        <f t="shared" si="11"/>
        <v>0</v>
      </c>
      <c r="N94" s="140">
        <f t="shared" si="12"/>
        <v>0</v>
      </c>
      <c r="O94" s="140">
        <f t="shared" si="13"/>
        <v>57.066853607999988</v>
      </c>
      <c r="P94" s="140">
        <f t="shared" si="14"/>
        <v>0</v>
      </c>
      <c r="Q94" s="156">
        <f t="shared" si="15"/>
        <v>49.879928378875469</v>
      </c>
      <c r="R94" s="157">
        <v>2.1886495007882298</v>
      </c>
      <c r="S94" s="73">
        <f t="shared" si="16"/>
        <v>124.89934066070417</v>
      </c>
      <c r="T94" t="s">
        <v>793</v>
      </c>
    </row>
    <row r="95" spans="1:20">
      <c r="A95" s="618" t="s">
        <v>733</v>
      </c>
      <c r="B95" s="618" t="s">
        <v>794</v>
      </c>
      <c r="C95" s="618" t="s">
        <v>836</v>
      </c>
      <c r="D95" s="631" t="s">
        <v>515</v>
      </c>
      <c r="E95" s="633" t="s">
        <v>792</v>
      </c>
      <c r="F95" s="628"/>
      <c r="G95" s="628">
        <v>1.204</v>
      </c>
      <c r="H95" s="628"/>
      <c r="I95" s="626">
        <f>6*0.0254*7850*5*0.0254/16</f>
        <v>9.4959487500000002</v>
      </c>
      <c r="J95" s="628">
        <v>13</v>
      </c>
      <c r="K95" s="140">
        <f t="shared" si="9"/>
        <v>148.63058983499999</v>
      </c>
      <c r="L95" s="140">
        <f t="shared" si="10"/>
        <v>0</v>
      </c>
      <c r="M95" s="140">
        <f t="shared" si="11"/>
        <v>0</v>
      </c>
      <c r="N95" s="140">
        <f t="shared" si="12"/>
        <v>0</v>
      </c>
      <c r="O95" s="140">
        <f t="shared" si="13"/>
        <v>148.63058983499999</v>
      </c>
      <c r="P95" s="140">
        <f t="shared" si="14"/>
        <v>0</v>
      </c>
      <c r="Q95" s="156">
        <f t="shared" si="15"/>
        <v>20.783303491198115</v>
      </c>
      <c r="R95" s="157">
        <v>2.1886495007882298</v>
      </c>
      <c r="S95" s="73">
        <f t="shared" si="16"/>
        <v>325.30026624423289</v>
      </c>
      <c r="T95" t="s">
        <v>793</v>
      </c>
    </row>
    <row r="96" spans="1:20">
      <c r="A96" s="618" t="s">
        <v>733</v>
      </c>
      <c r="B96" s="618" t="s">
        <v>794</v>
      </c>
      <c r="C96" s="618" t="s">
        <v>837</v>
      </c>
      <c r="D96" s="631" t="s">
        <v>515</v>
      </c>
      <c r="E96" s="633" t="s">
        <v>792</v>
      </c>
      <c r="F96" s="628"/>
      <c r="G96" s="628">
        <v>0.14299999999999999</v>
      </c>
      <c r="H96" s="628"/>
      <c r="I96" s="626">
        <f t="shared" ref="I96:I109" si="17">12*0.0254*7850*3*0.0254/8</f>
        <v>22.790276999999996</v>
      </c>
      <c r="J96" s="628">
        <v>1</v>
      </c>
      <c r="K96" s="140">
        <f t="shared" si="9"/>
        <v>3.2590096109999993</v>
      </c>
      <c r="L96" s="140">
        <f t="shared" si="10"/>
        <v>0</v>
      </c>
      <c r="M96" s="140">
        <f t="shared" si="11"/>
        <v>0</v>
      </c>
      <c r="N96" s="140">
        <f t="shared" si="12"/>
        <v>0</v>
      </c>
      <c r="O96" s="140">
        <f t="shared" si="13"/>
        <v>3.2590096109999993</v>
      </c>
      <c r="P96" s="140">
        <f t="shared" si="14"/>
        <v>0</v>
      </c>
      <c r="Q96" s="156">
        <f t="shared" si="15"/>
        <v>49.879928378875469</v>
      </c>
      <c r="R96" s="157">
        <v>2.1886495007882298</v>
      </c>
      <c r="S96" s="73">
        <f t="shared" si="16"/>
        <v>7.1328297581791915</v>
      </c>
      <c r="T96" t="s">
        <v>793</v>
      </c>
    </row>
    <row r="97" spans="1:20">
      <c r="A97" s="618" t="s">
        <v>733</v>
      </c>
      <c r="B97" s="618" t="s">
        <v>794</v>
      </c>
      <c r="C97" s="618" t="s">
        <v>837</v>
      </c>
      <c r="D97" s="631" t="s">
        <v>515</v>
      </c>
      <c r="E97" s="633" t="s">
        <v>792</v>
      </c>
      <c r="F97" s="628"/>
      <c r="G97" s="628">
        <v>0.313</v>
      </c>
      <c r="H97" s="628"/>
      <c r="I97" s="626">
        <f t="shared" si="17"/>
        <v>22.790276999999996</v>
      </c>
      <c r="J97" s="628">
        <v>1</v>
      </c>
      <c r="K97" s="140">
        <f t="shared" si="9"/>
        <v>7.1333567009999985</v>
      </c>
      <c r="L97" s="140">
        <f t="shared" si="10"/>
        <v>0</v>
      </c>
      <c r="M97" s="140">
        <f t="shared" si="11"/>
        <v>0</v>
      </c>
      <c r="N97" s="140">
        <f t="shared" si="12"/>
        <v>0</v>
      </c>
      <c r="O97" s="140">
        <f t="shared" si="13"/>
        <v>7.1333567009999985</v>
      </c>
      <c r="P97" s="140">
        <f t="shared" si="14"/>
        <v>0</v>
      </c>
      <c r="Q97" s="156">
        <f t="shared" si="15"/>
        <v>49.879928378875469</v>
      </c>
      <c r="R97" s="157">
        <v>2.1886495007882298</v>
      </c>
      <c r="S97" s="73">
        <f t="shared" si="16"/>
        <v>15.612417582588021</v>
      </c>
      <c r="T97" t="s">
        <v>793</v>
      </c>
    </row>
    <row r="98" spans="1:20">
      <c r="A98" s="618" t="s">
        <v>733</v>
      </c>
      <c r="B98" s="618" t="s">
        <v>794</v>
      </c>
      <c r="C98" s="618" t="s">
        <v>837</v>
      </c>
      <c r="D98" s="631" t="s">
        <v>515</v>
      </c>
      <c r="E98" s="633" t="s">
        <v>792</v>
      </c>
      <c r="F98" s="628"/>
      <c r="G98" s="628">
        <v>0.40400000000000003</v>
      </c>
      <c r="H98" s="628"/>
      <c r="I98" s="626">
        <f t="shared" si="17"/>
        <v>22.790276999999996</v>
      </c>
      <c r="J98" s="628">
        <v>1</v>
      </c>
      <c r="K98" s="140">
        <f t="shared" si="9"/>
        <v>9.2072719079999992</v>
      </c>
      <c r="L98" s="140">
        <f t="shared" si="10"/>
        <v>0</v>
      </c>
      <c r="M98" s="140">
        <f t="shared" si="11"/>
        <v>0</v>
      </c>
      <c r="N98" s="140">
        <f t="shared" si="12"/>
        <v>0</v>
      </c>
      <c r="O98" s="140">
        <f t="shared" si="13"/>
        <v>9.2072719079999992</v>
      </c>
      <c r="P98" s="140">
        <f t="shared" si="14"/>
        <v>0</v>
      </c>
      <c r="Q98" s="156">
        <f t="shared" si="15"/>
        <v>49.879928378875469</v>
      </c>
      <c r="R98" s="157">
        <v>2.1886495007882298</v>
      </c>
      <c r="S98" s="73">
        <f t="shared" si="16"/>
        <v>20.151491065065692</v>
      </c>
      <c r="T98" t="s">
        <v>793</v>
      </c>
    </row>
    <row r="99" spans="1:20">
      <c r="A99" s="618" t="s">
        <v>733</v>
      </c>
      <c r="B99" s="618" t="s">
        <v>794</v>
      </c>
      <c r="C99" s="618" t="s">
        <v>837</v>
      </c>
      <c r="D99" s="631" t="s">
        <v>515</v>
      </c>
      <c r="E99" s="633" t="s">
        <v>792</v>
      </c>
      <c r="F99" s="628"/>
      <c r="G99" s="628">
        <v>0.81599999999999995</v>
      </c>
      <c r="H99" s="628"/>
      <c r="I99" s="626">
        <f t="shared" si="17"/>
        <v>22.790276999999996</v>
      </c>
      <c r="J99" s="628">
        <v>1</v>
      </c>
      <c r="K99" s="140">
        <f t="shared" si="9"/>
        <v>18.596866031999994</v>
      </c>
      <c r="L99" s="140">
        <f t="shared" si="10"/>
        <v>0</v>
      </c>
      <c r="M99" s="140">
        <f t="shared" si="11"/>
        <v>0</v>
      </c>
      <c r="N99" s="140">
        <f t="shared" si="12"/>
        <v>0</v>
      </c>
      <c r="O99" s="140">
        <f t="shared" si="13"/>
        <v>18.596866031999994</v>
      </c>
      <c r="P99" s="140">
        <f t="shared" si="14"/>
        <v>0</v>
      </c>
      <c r="Q99" s="156">
        <f t="shared" si="15"/>
        <v>49.879928378875469</v>
      </c>
      <c r="R99" s="157">
        <v>2.1886495007882298</v>
      </c>
      <c r="S99" s="73">
        <f t="shared" si="16"/>
        <v>40.702021557162375</v>
      </c>
      <c r="T99" t="s">
        <v>793</v>
      </c>
    </row>
    <row r="100" spans="1:20">
      <c r="A100" s="618" t="s">
        <v>733</v>
      </c>
      <c r="B100" s="618" t="s">
        <v>794</v>
      </c>
      <c r="C100" s="618" t="s">
        <v>837</v>
      </c>
      <c r="D100" s="631" t="s">
        <v>515</v>
      </c>
      <c r="E100" s="633" t="s">
        <v>792</v>
      </c>
      <c r="F100" s="628"/>
      <c r="G100" s="628">
        <v>0.63400000000000001</v>
      </c>
      <c r="H100" s="628"/>
      <c r="I100" s="626">
        <f t="shared" si="17"/>
        <v>22.790276999999996</v>
      </c>
      <c r="J100" s="628">
        <v>1</v>
      </c>
      <c r="K100" s="140">
        <f t="shared" si="9"/>
        <v>14.449035617999998</v>
      </c>
      <c r="L100" s="140">
        <f t="shared" si="10"/>
        <v>0</v>
      </c>
      <c r="M100" s="140">
        <f t="shared" si="11"/>
        <v>0</v>
      </c>
      <c r="N100" s="140">
        <f t="shared" si="12"/>
        <v>0</v>
      </c>
      <c r="O100" s="140">
        <f t="shared" si="13"/>
        <v>14.449035617999998</v>
      </c>
      <c r="P100" s="140">
        <f t="shared" si="14"/>
        <v>0</v>
      </c>
      <c r="Q100" s="156">
        <f t="shared" si="15"/>
        <v>49.879928378875469</v>
      </c>
      <c r="R100" s="157">
        <v>2.1886495007882298</v>
      </c>
      <c r="S100" s="73">
        <f t="shared" si="16"/>
        <v>31.623874592207049</v>
      </c>
      <c r="T100" t="s">
        <v>793</v>
      </c>
    </row>
    <row r="101" spans="1:20">
      <c r="A101" s="618" t="s">
        <v>733</v>
      </c>
      <c r="B101" s="618" t="s">
        <v>794</v>
      </c>
      <c r="C101" s="618" t="s">
        <v>837</v>
      </c>
      <c r="D101" s="631" t="s">
        <v>515</v>
      </c>
      <c r="E101" s="633" t="s">
        <v>792</v>
      </c>
      <c r="F101" s="628"/>
      <c r="G101" s="628">
        <v>0.13300000000000001</v>
      </c>
      <c r="H101" s="628"/>
      <c r="I101" s="626">
        <f t="shared" si="17"/>
        <v>22.790276999999996</v>
      </c>
      <c r="J101" s="628">
        <v>1</v>
      </c>
      <c r="K101" s="140">
        <f t="shared" si="9"/>
        <v>3.0311068409999997</v>
      </c>
      <c r="L101" s="140">
        <f t="shared" si="10"/>
        <v>0</v>
      </c>
      <c r="M101" s="140">
        <f t="shared" si="11"/>
        <v>0</v>
      </c>
      <c r="N101" s="140">
        <f t="shared" si="12"/>
        <v>0</v>
      </c>
      <c r="O101" s="140">
        <f t="shared" si="13"/>
        <v>3.0311068409999997</v>
      </c>
      <c r="P101" s="140">
        <f t="shared" si="14"/>
        <v>0</v>
      </c>
      <c r="Q101" s="156">
        <f t="shared" si="15"/>
        <v>49.879928378875469</v>
      </c>
      <c r="R101" s="157">
        <v>2.1886495007882298</v>
      </c>
      <c r="S101" s="73">
        <f t="shared" si="16"/>
        <v>6.6340304743904381</v>
      </c>
      <c r="T101" t="s">
        <v>793</v>
      </c>
    </row>
    <row r="102" spans="1:20">
      <c r="A102" s="618" t="s">
        <v>733</v>
      </c>
      <c r="B102" s="618" t="s">
        <v>794</v>
      </c>
      <c r="C102" s="618" t="s">
        <v>837</v>
      </c>
      <c r="D102" s="631" t="s">
        <v>515</v>
      </c>
      <c r="E102" s="633" t="s">
        <v>792</v>
      </c>
      <c r="F102" s="628"/>
      <c r="G102" s="628">
        <v>1.504</v>
      </c>
      <c r="H102" s="628"/>
      <c r="I102" s="626">
        <f t="shared" si="17"/>
        <v>22.790276999999996</v>
      </c>
      <c r="J102" s="628">
        <v>1</v>
      </c>
      <c r="K102" s="140">
        <f t="shared" si="9"/>
        <v>34.276576607999992</v>
      </c>
      <c r="L102" s="140">
        <f t="shared" si="10"/>
        <v>0</v>
      </c>
      <c r="M102" s="140">
        <f t="shared" si="11"/>
        <v>0</v>
      </c>
      <c r="N102" s="140">
        <f t="shared" si="12"/>
        <v>0</v>
      </c>
      <c r="O102" s="140">
        <f t="shared" si="13"/>
        <v>34.276576607999992</v>
      </c>
      <c r="P102" s="140">
        <f t="shared" si="14"/>
        <v>0</v>
      </c>
      <c r="Q102" s="156">
        <f t="shared" si="15"/>
        <v>49.879928378875469</v>
      </c>
      <c r="R102" s="157">
        <v>2.1886495007882298</v>
      </c>
      <c r="S102" s="73">
        <f t="shared" si="16"/>
        <v>75.019412281828693</v>
      </c>
      <c r="T102" t="s">
        <v>793</v>
      </c>
    </row>
    <row r="103" spans="1:20">
      <c r="A103" s="618" t="s">
        <v>733</v>
      </c>
      <c r="B103" s="618" t="s">
        <v>794</v>
      </c>
      <c r="C103" s="618" t="s">
        <v>832</v>
      </c>
      <c r="D103" s="631" t="s">
        <v>515</v>
      </c>
      <c r="E103" s="633" t="s">
        <v>792</v>
      </c>
      <c r="F103" s="628"/>
      <c r="G103" s="628">
        <v>2.7370000000000001</v>
      </c>
      <c r="H103" s="628"/>
      <c r="I103" s="626">
        <f t="shared" si="17"/>
        <v>22.790276999999996</v>
      </c>
      <c r="J103" s="628">
        <v>1</v>
      </c>
      <c r="K103" s="140">
        <f t="shared" si="9"/>
        <v>62.376988148999992</v>
      </c>
      <c r="L103" s="140">
        <f t="shared" si="10"/>
        <v>0</v>
      </c>
      <c r="M103" s="140">
        <f t="shared" si="11"/>
        <v>0</v>
      </c>
      <c r="N103" s="140">
        <f t="shared" si="12"/>
        <v>0</v>
      </c>
      <c r="O103" s="140">
        <f t="shared" si="13"/>
        <v>62.376988148999992</v>
      </c>
      <c r="P103" s="140">
        <f t="shared" si="14"/>
        <v>0</v>
      </c>
      <c r="Q103" s="156">
        <f t="shared" si="15"/>
        <v>49.879928378875469</v>
      </c>
      <c r="R103" s="157">
        <v>2.1886495007882298</v>
      </c>
      <c r="S103" s="73">
        <f t="shared" si="16"/>
        <v>136.52136397298216</v>
      </c>
      <c r="T103" t="s">
        <v>793</v>
      </c>
    </row>
    <row r="104" spans="1:20">
      <c r="A104" s="618" t="s">
        <v>733</v>
      </c>
      <c r="B104" s="618" t="s">
        <v>794</v>
      </c>
      <c r="C104" s="618" t="s">
        <v>832</v>
      </c>
      <c r="D104" s="631" t="s">
        <v>515</v>
      </c>
      <c r="E104" s="633" t="s">
        <v>792</v>
      </c>
      <c r="F104" s="628"/>
      <c r="G104" s="628">
        <v>3.202</v>
      </c>
      <c r="H104" s="628"/>
      <c r="I104" s="626">
        <f t="shared" si="17"/>
        <v>22.790276999999996</v>
      </c>
      <c r="J104" s="628">
        <v>1</v>
      </c>
      <c r="K104" s="140">
        <f t="shared" si="9"/>
        <v>72.974466953999993</v>
      </c>
      <c r="L104" s="140">
        <f t="shared" si="10"/>
        <v>0</v>
      </c>
      <c r="M104" s="140">
        <f t="shared" si="11"/>
        <v>0</v>
      </c>
      <c r="N104" s="140">
        <f t="shared" si="12"/>
        <v>0</v>
      </c>
      <c r="O104" s="140">
        <f t="shared" si="13"/>
        <v>72.974466953999993</v>
      </c>
      <c r="P104" s="140">
        <f t="shared" si="14"/>
        <v>0</v>
      </c>
      <c r="Q104" s="156">
        <f t="shared" si="15"/>
        <v>49.879928378875469</v>
      </c>
      <c r="R104" s="157">
        <v>2.1886495007882298</v>
      </c>
      <c r="S104" s="73">
        <f t="shared" si="16"/>
        <v>159.71553066915925</v>
      </c>
      <c r="T104" t="s">
        <v>793</v>
      </c>
    </row>
    <row r="105" spans="1:20">
      <c r="A105" s="618" t="s">
        <v>733</v>
      </c>
      <c r="B105" s="618" t="s">
        <v>794</v>
      </c>
      <c r="C105" s="618" t="s">
        <v>832</v>
      </c>
      <c r="D105" s="631" t="s">
        <v>515</v>
      </c>
      <c r="E105" s="633" t="s">
        <v>792</v>
      </c>
      <c r="F105" s="628"/>
      <c r="G105" s="628">
        <v>1.5229999999999999</v>
      </c>
      <c r="H105" s="628"/>
      <c r="I105" s="626">
        <f t="shared" si="17"/>
        <v>22.790276999999996</v>
      </c>
      <c r="J105" s="628">
        <v>1</v>
      </c>
      <c r="K105" s="140">
        <f t="shared" si="9"/>
        <v>34.709591870999994</v>
      </c>
      <c r="L105" s="140">
        <f t="shared" si="10"/>
        <v>0</v>
      </c>
      <c r="M105" s="140">
        <f t="shared" si="11"/>
        <v>0</v>
      </c>
      <c r="N105" s="140">
        <f t="shared" si="12"/>
        <v>0</v>
      </c>
      <c r="O105" s="140">
        <f t="shared" si="13"/>
        <v>34.709591870999994</v>
      </c>
      <c r="P105" s="140">
        <f t="shared" si="14"/>
        <v>0</v>
      </c>
      <c r="Q105" s="156">
        <f t="shared" si="15"/>
        <v>49.879928378875469</v>
      </c>
      <c r="R105" s="157">
        <v>2.1886495007882298</v>
      </c>
      <c r="S105" s="73">
        <f t="shared" si="16"/>
        <v>75.967130921027334</v>
      </c>
      <c r="T105" t="s">
        <v>793</v>
      </c>
    </row>
    <row r="106" spans="1:20">
      <c r="A106" s="618" t="s">
        <v>733</v>
      </c>
      <c r="B106" s="618" t="s">
        <v>794</v>
      </c>
      <c r="C106" s="618" t="s">
        <v>832</v>
      </c>
      <c r="D106" s="631" t="s">
        <v>515</v>
      </c>
      <c r="E106" s="633" t="s">
        <v>792</v>
      </c>
      <c r="F106" s="628"/>
      <c r="G106" s="628">
        <v>3.1920000000000002</v>
      </c>
      <c r="H106" s="628"/>
      <c r="I106" s="626">
        <f t="shared" si="17"/>
        <v>22.790276999999996</v>
      </c>
      <c r="J106" s="628">
        <v>1</v>
      </c>
      <c r="K106" s="140">
        <f t="shared" si="9"/>
        <v>72.746564183999993</v>
      </c>
      <c r="L106" s="140">
        <f t="shared" si="10"/>
        <v>0</v>
      </c>
      <c r="M106" s="140">
        <f t="shared" si="11"/>
        <v>0</v>
      </c>
      <c r="N106" s="140">
        <f t="shared" si="12"/>
        <v>0</v>
      </c>
      <c r="O106" s="140">
        <f t="shared" si="13"/>
        <v>72.746564183999993</v>
      </c>
      <c r="P106" s="140">
        <f t="shared" si="14"/>
        <v>0</v>
      </c>
      <c r="Q106" s="156">
        <f t="shared" si="15"/>
        <v>49.879928378875469</v>
      </c>
      <c r="R106" s="157">
        <v>2.1886495007882298</v>
      </c>
      <c r="S106" s="73">
        <f t="shared" si="16"/>
        <v>159.21673138537051</v>
      </c>
      <c r="T106" t="s">
        <v>793</v>
      </c>
    </row>
    <row r="107" spans="1:20">
      <c r="A107" s="618" t="s">
        <v>733</v>
      </c>
      <c r="B107" s="618" t="s">
        <v>794</v>
      </c>
      <c r="C107" s="618" t="s">
        <v>832</v>
      </c>
      <c r="D107" s="631" t="s">
        <v>515</v>
      </c>
      <c r="E107" s="633" t="s">
        <v>792</v>
      </c>
      <c r="F107" s="628"/>
      <c r="G107" s="628">
        <v>1.5049999999999999</v>
      </c>
      <c r="H107" s="628"/>
      <c r="I107" s="626">
        <f t="shared" si="17"/>
        <v>22.790276999999996</v>
      </c>
      <c r="J107" s="628">
        <v>1</v>
      </c>
      <c r="K107" s="140">
        <f t="shared" si="9"/>
        <v>34.299366884999991</v>
      </c>
      <c r="L107" s="140">
        <f t="shared" si="10"/>
        <v>0</v>
      </c>
      <c r="M107" s="140">
        <f t="shared" si="11"/>
        <v>0</v>
      </c>
      <c r="N107" s="140">
        <f t="shared" si="12"/>
        <v>0</v>
      </c>
      <c r="O107" s="140">
        <f t="shared" si="13"/>
        <v>34.299366884999991</v>
      </c>
      <c r="P107" s="140">
        <f t="shared" si="14"/>
        <v>0</v>
      </c>
      <c r="Q107" s="156">
        <f t="shared" si="15"/>
        <v>49.879928378875469</v>
      </c>
      <c r="R107" s="157">
        <v>2.1886495007882298</v>
      </c>
      <c r="S107" s="73">
        <f t="shared" si="16"/>
        <v>75.069292210207578</v>
      </c>
      <c r="T107" t="s">
        <v>793</v>
      </c>
    </row>
    <row r="108" spans="1:20">
      <c r="A108" s="618" t="s">
        <v>733</v>
      </c>
      <c r="B108" s="618" t="s">
        <v>794</v>
      </c>
      <c r="C108" s="618" t="s">
        <v>832</v>
      </c>
      <c r="D108" s="631" t="s">
        <v>515</v>
      </c>
      <c r="E108" s="633" t="s">
        <v>792</v>
      </c>
      <c r="F108" s="628"/>
      <c r="G108" s="628">
        <v>1.1659999999999999</v>
      </c>
      <c r="H108" s="628"/>
      <c r="I108" s="626">
        <f t="shared" si="17"/>
        <v>22.790276999999996</v>
      </c>
      <c r="J108" s="628">
        <v>1</v>
      </c>
      <c r="K108" s="140">
        <f t="shared" si="9"/>
        <v>26.573462981999995</v>
      </c>
      <c r="L108" s="140">
        <f t="shared" si="10"/>
        <v>0</v>
      </c>
      <c r="M108" s="140">
        <f t="shared" si="11"/>
        <v>0</v>
      </c>
      <c r="N108" s="140">
        <f t="shared" si="12"/>
        <v>0</v>
      </c>
      <c r="O108" s="140">
        <f t="shared" si="13"/>
        <v>26.573462981999995</v>
      </c>
      <c r="P108" s="140">
        <f t="shared" si="14"/>
        <v>0</v>
      </c>
      <c r="Q108" s="156">
        <f t="shared" si="15"/>
        <v>49.879928378875469</v>
      </c>
      <c r="R108" s="157">
        <v>2.1886495007882298</v>
      </c>
      <c r="S108" s="73">
        <f t="shared" si="16"/>
        <v>58.159996489768794</v>
      </c>
      <c r="T108" t="s">
        <v>793</v>
      </c>
    </row>
    <row r="109" spans="1:20">
      <c r="A109" s="618" t="s">
        <v>733</v>
      </c>
      <c r="B109" s="618" t="s">
        <v>794</v>
      </c>
      <c r="C109" s="618" t="s">
        <v>832</v>
      </c>
      <c r="D109" s="631" t="s">
        <v>515</v>
      </c>
      <c r="E109" s="633" t="s">
        <v>792</v>
      </c>
      <c r="F109" s="628"/>
      <c r="G109" s="628">
        <v>1.03</v>
      </c>
      <c r="H109" s="628"/>
      <c r="I109" s="626">
        <f t="shared" si="17"/>
        <v>22.790276999999996</v>
      </c>
      <c r="J109" s="628">
        <v>1</v>
      </c>
      <c r="K109" s="140">
        <f t="shared" si="9"/>
        <v>23.473985309999996</v>
      </c>
      <c r="L109" s="140">
        <f t="shared" si="10"/>
        <v>0</v>
      </c>
      <c r="M109" s="140">
        <f t="shared" si="11"/>
        <v>0</v>
      </c>
      <c r="N109" s="140">
        <f t="shared" si="12"/>
        <v>0</v>
      </c>
      <c r="O109" s="140">
        <f t="shared" si="13"/>
        <v>23.473985309999996</v>
      </c>
      <c r="P109" s="140">
        <f t="shared" si="14"/>
        <v>0</v>
      </c>
      <c r="Q109" s="156">
        <f t="shared" si="15"/>
        <v>49.879928378875469</v>
      </c>
      <c r="R109" s="157">
        <v>2.1886495007882298</v>
      </c>
      <c r="S109" s="73">
        <f t="shared" si="16"/>
        <v>51.37632623024173</v>
      </c>
      <c r="T109" t="s">
        <v>793</v>
      </c>
    </row>
    <row r="110" spans="1:20">
      <c r="A110" s="618" t="s">
        <v>734</v>
      </c>
      <c r="B110" s="618" t="s">
        <v>794</v>
      </c>
      <c r="C110" s="618" t="s">
        <v>838</v>
      </c>
      <c r="D110" s="631" t="s">
        <v>513</v>
      </c>
      <c r="E110" s="631" t="s">
        <v>799</v>
      </c>
      <c r="F110" s="628"/>
      <c r="G110" s="628">
        <v>0.44900000000000001</v>
      </c>
      <c r="H110" s="628"/>
      <c r="I110" s="626">
        <f>4*0.0254*7850*0.0254*0.25</f>
        <v>5.0645059999999997</v>
      </c>
      <c r="J110" s="628">
        <v>1</v>
      </c>
      <c r="K110" s="140">
        <f t="shared" si="9"/>
        <v>2.2739631939999998</v>
      </c>
      <c r="L110" s="140">
        <f t="shared" si="10"/>
        <v>0</v>
      </c>
      <c r="M110" s="140">
        <f t="shared" si="11"/>
        <v>0</v>
      </c>
      <c r="N110" s="140">
        <f t="shared" si="12"/>
        <v>0</v>
      </c>
      <c r="O110" s="140">
        <f t="shared" si="13"/>
        <v>2.2739631939999998</v>
      </c>
      <c r="P110" s="140">
        <f t="shared" si="14"/>
        <v>0</v>
      </c>
      <c r="Q110" s="156">
        <f t="shared" si="15"/>
        <v>11.084428528638995</v>
      </c>
      <c r="R110" s="125">
        <v>2.1886495007882298</v>
      </c>
      <c r="S110" s="73">
        <f t="shared" si="16"/>
        <v>4.9769084093589084</v>
      </c>
      <c r="T110" t="s">
        <v>793</v>
      </c>
    </row>
    <row r="111" spans="1:20">
      <c r="A111" s="618" t="s">
        <v>734</v>
      </c>
      <c r="B111" s="618" t="s">
        <v>794</v>
      </c>
      <c r="C111" s="618" t="s">
        <v>839</v>
      </c>
      <c r="D111" s="631" t="s">
        <v>513</v>
      </c>
      <c r="E111" s="631" t="s">
        <v>799</v>
      </c>
      <c r="F111" s="628"/>
      <c r="G111" s="628">
        <v>0.44900000000000001</v>
      </c>
      <c r="H111" s="628"/>
      <c r="I111" s="626">
        <f>6*0.0254*7850*5*0.0254/16</f>
        <v>9.4959487500000002</v>
      </c>
      <c r="J111" s="628">
        <v>1</v>
      </c>
      <c r="K111" s="140">
        <f t="shared" si="9"/>
        <v>4.26368098875</v>
      </c>
      <c r="L111" s="140">
        <f t="shared" si="10"/>
        <v>0</v>
      </c>
      <c r="M111" s="140">
        <f t="shared" si="11"/>
        <v>0</v>
      </c>
      <c r="N111" s="140">
        <f t="shared" si="12"/>
        <v>0</v>
      </c>
      <c r="O111" s="140">
        <f t="shared" si="13"/>
        <v>4.26368098875</v>
      </c>
      <c r="P111" s="140">
        <f t="shared" si="14"/>
        <v>0</v>
      </c>
      <c r="Q111" s="156">
        <f t="shared" si="15"/>
        <v>20.783303491198115</v>
      </c>
      <c r="R111" s="125">
        <v>2.1886495007882298</v>
      </c>
      <c r="S111" s="73">
        <f t="shared" si="16"/>
        <v>9.3317032675479545</v>
      </c>
      <c r="T111" t="s">
        <v>793</v>
      </c>
    </row>
    <row r="112" spans="1:20">
      <c r="A112" s="618" t="s">
        <v>734</v>
      </c>
      <c r="B112" s="618" t="s">
        <v>815</v>
      </c>
      <c r="C112" s="618" t="s">
        <v>816</v>
      </c>
      <c r="D112" s="631" t="s">
        <v>515</v>
      </c>
      <c r="E112" s="631" t="s">
        <v>817</v>
      </c>
      <c r="F112" s="628"/>
      <c r="G112" s="628">
        <v>0.44900000000000001</v>
      </c>
      <c r="H112" s="628"/>
      <c r="I112" s="626">
        <v>4.05</v>
      </c>
      <c r="J112" s="628">
        <v>1</v>
      </c>
      <c r="K112" s="140">
        <f t="shared" si="9"/>
        <v>1.8184499999999999</v>
      </c>
      <c r="L112" s="140">
        <f t="shared" si="10"/>
        <v>0</v>
      </c>
      <c r="M112" s="140">
        <f t="shared" si="11"/>
        <v>1.8184499999999999</v>
      </c>
      <c r="N112" s="140">
        <f t="shared" si="12"/>
        <v>0</v>
      </c>
      <c r="O112" s="140">
        <f t="shared" si="13"/>
        <v>0</v>
      </c>
      <c r="P112" s="140">
        <f t="shared" si="14"/>
        <v>0</v>
      </c>
      <c r="Q112" s="156">
        <f t="shared" si="15"/>
        <v>15.75520231213871</v>
      </c>
      <c r="R112" s="125">
        <v>3.8901734104046199</v>
      </c>
      <c r="S112" s="73">
        <f t="shared" si="16"/>
        <v>7.0740858381502809</v>
      </c>
      <c r="T112" t="s">
        <v>793</v>
      </c>
    </row>
    <row r="113" spans="1:20">
      <c r="A113" s="618" t="s">
        <v>734</v>
      </c>
      <c r="B113" s="618" t="s">
        <v>794</v>
      </c>
      <c r="C113" s="618" t="s">
        <v>840</v>
      </c>
      <c r="D113" s="631" t="s">
        <v>515</v>
      </c>
      <c r="E113" s="633" t="s">
        <v>792</v>
      </c>
      <c r="F113" s="628"/>
      <c r="G113" s="628">
        <v>0.75600000000000001</v>
      </c>
      <c r="H113" s="628"/>
      <c r="I113" s="626">
        <f>8*0.0254*7850*0.25*0.0254</f>
        <v>10.129011999999999</v>
      </c>
      <c r="J113" s="628">
        <v>1</v>
      </c>
      <c r="K113" s="140">
        <f t="shared" si="9"/>
        <v>7.6575330719999997</v>
      </c>
      <c r="L113" s="140">
        <f t="shared" si="10"/>
        <v>0</v>
      </c>
      <c r="M113" s="140">
        <f t="shared" si="11"/>
        <v>0</v>
      </c>
      <c r="N113" s="140">
        <f t="shared" si="12"/>
        <v>0</v>
      </c>
      <c r="O113" s="140">
        <f t="shared" si="13"/>
        <v>7.6575330719999997</v>
      </c>
      <c r="P113" s="140">
        <f t="shared" si="14"/>
        <v>0</v>
      </c>
      <c r="Q113" s="156">
        <f t="shared" si="15"/>
        <v>22.168857057277989</v>
      </c>
      <c r="R113" s="157">
        <v>2.1886495007882298</v>
      </c>
      <c r="S113" s="73">
        <f t="shared" si="16"/>
        <v>16.75965593530216</v>
      </c>
      <c r="T113" t="s">
        <v>793</v>
      </c>
    </row>
    <row r="114" spans="1:20">
      <c r="A114" s="618" t="s">
        <v>734</v>
      </c>
      <c r="B114" s="618" t="s">
        <v>794</v>
      </c>
      <c r="C114" s="618" t="s">
        <v>840</v>
      </c>
      <c r="D114" s="631" t="s">
        <v>515</v>
      </c>
      <c r="E114" s="633" t="s">
        <v>792</v>
      </c>
      <c r="F114" s="628"/>
      <c r="G114" s="628">
        <v>1.3049999999999999</v>
      </c>
      <c r="H114" s="628"/>
      <c r="I114" s="626">
        <f>8*0.0254*7850*0.25*0.0254</f>
        <v>10.129011999999999</v>
      </c>
      <c r="J114" s="628">
        <v>1</v>
      </c>
      <c r="K114" s="140">
        <f t="shared" si="9"/>
        <v>13.218360659999998</v>
      </c>
      <c r="L114" s="140">
        <f t="shared" si="10"/>
        <v>0</v>
      </c>
      <c r="M114" s="140">
        <f t="shared" si="11"/>
        <v>0</v>
      </c>
      <c r="N114" s="140">
        <f t="shared" si="12"/>
        <v>0</v>
      </c>
      <c r="O114" s="140">
        <f t="shared" si="13"/>
        <v>13.218360659999998</v>
      </c>
      <c r="P114" s="140">
        <f t="shared" si="14"/>
        <v>0</v>
      </c>
      <c r="Q114" s="156">
        <f t="shared" si="15"/>
        <v>22.168857057277989</v>
      </c>
      <c r="R114" s="157">
        <v>2.1886495007882298</v>
      </c>
      <c r="S114" s="73">
        <f t="shared" si="16"/>
        <v>28.930358459747772</v>
      </c>
      <c r="T114" t="s">
        <v>793</v>
      </c>
    </row>
    <row r="115" spans="1:20">
      <c r="A115" s="618" t="s">
        <v>734</v>
      </c>
      <c r="B115" s="618" t="s">
        <v>794</v>
      </c>
      <c r="C115" s="618" t="s">
        <v>840</v>
      </c>
      <c r="D115" s="631" t="s">
        <v>515</v>
      </c>
      <c r="E115" s="633" t="s">
        <v>792</v>
      </c>
      <c r="F115" s="628"/>
      <c r="G115" s="628">
        <v>1.4610000000000001</v>
      </c>
      <c r="H115" s="628"/>
      <c r="I115" s="626">
        <f>8*0.0254*7850*0.25*0.0254</f>
        <v>10.129011999999999</v>
      </c>
      <c r="J115" s="628">
        <v>3</v>
      </c>
      <c r="K115" s="140">
        <f t="shared" si="9"/>
        <v>44.395459596000002</v>
      </c>
      <c r="L115" s="140">
        <f t="shared" si="10"/>
        <v>0</v>
      </c>
      <c r="M115" s="140">
        <f t="shared" si="11"/>
        <v>0</v>
      </c>
      <c r="N115" s="140">
        <f t="shared" si="12"/>
        <v>0</v>
      </c>
      <c r="O115" s="140">
        <f t="shared" si="13"/>
        <v>44.395459596000002</v>
      </c>
      <c r="P115" s="140">
        <f t="shared" si="14"/>
        <v>0</v>
      </c>
      <c r="Q115" s="156">
        <f t="shared" si="15"/>
        <v>22.168857057277989</v>
      </c>
      <c r="R115" s="157">
        <v>2.1886495007882298</v>
      </c>
      <c r="S115" s="73">
        <f t="shared" si="16"/>
        <v>97.16610048204943</v>
      </c>
      <c r="T115" t="s">
        <v>793</v>
      </c>
    </row>
    <row r="116" spans="1:20">
      <c r="A116" s="618" t="s">
        <v>734</v>
      </c>
      <c r="B116" s="618" t="s">
        <v>794</v>
      </c>
      <c r="C116" s="618" t="s">
        <v>840</v>
      </c>
      <c r="D116" s="631" t="s">
        <v>515</v>
      </c>
      <c r="E116" s="633" t="s">
        <v>792</v>
      </c>
      <c r="F116" s="628"/>
      <c r="G116" s="628">
        <v>0.76800000000000002</v>
      </c>
      <c r="H116" s="628"/>
      <c r="I116" s="626">
        <f>8*0.0254*7850*0.25*0.0254</f>
        <v>10.129011999999999</v>
      </c>
      <c r="J116" s="628">
        <v>56</v>
      </c>
      <c r="K116" s="140">
        <f t="shared" si="9"/>
        <v>435.62854809599997</v>
      </c>
      <c r="L116" s="140">
        <f t="shared" si="10"/>
        <v>0</v>
      </c>
      <c r="M116" s="140">
        <f t="shared" si="11"/>
        <v>0</v>
      </c>
      <c r="N116" s="140">
        <f t="shared" si="12"/>
        <v>0</v>
      </c>
      <c r="O116" s="140">
        <f t="shared" si="13"/>
        <v>435.62854809599997</v>
      </c>
      <c r="P116" s="140">
        <f t="shared" si="14"/>
        <v>0</v>
      </c>
      <c r="Q116" s="156">
        <f t="shared" si="15"/>
        <v>22.168857057277989</v>
      </c>
      <c r="R116" s="157">
        <v>2.1886495007882298</v>
      </c>
      <c r="S116" s="73">
        <f t="shared" si="16"/>
        <v>953.43820431941174</v>
      </c>
      <c r="T116" t="s">
        <v>793</v>
      </c>
    </row>
    <row r="117" spans="1:20">
      <c r="A117" s="618" t="s">
        <v>734</v>
      </c>
      <c r="B117" s="618" t="s">
        <v>794</v>
      </c>
      <c r="C117" s="618" t="s">
        <v>838</v>
      </c>
      <c r="D117" s="631" t="s">
        <v>513</v>
      </c>
      <c r="E117" s="631" t="s">
        <v>799</v>
      </c>
      <c r="F117" s="628"/>
      <c r="G117" s="628">
        <v>1.3879999999999999</v>
      </c>
      <c r="H117" s="628"/>
      <c r="I117" s="626">
        <f>4*0.0254*7850*0.0254*0.25</f>
        <v>5.0645059999999997</v>
      </c>
      <c r="J117" s="628">
        <v>1</v>
      </c>
      <c r="K117" s="140">
        <f t="shared" si="9"/>
        <v>7.0295343279999996</v>
      </c>
      <c r="L117" s="140">
        <f t="shared" si="10"/>
        <v>0</v>
      </c>
      <c r="M117" s="140">
        <f t="shared" si="11"/>
        <v>0</v>
      </c>
      <c r="N117" s="140">
        <f t="shared" si="12"/>
        <v>0</v>
      </c>
      <c r="O117" s="140">
        <f t="shared" si="13"/>
        <v>7.0295343279999996</v>
      </c>
      <c r="P117" s="140">
        <f t="shared" si="14"/>
        <v>0</v>
      </c>
      <c r="Q117" s="156">
        <f t="shared" si="15"/>
        <v>11.084428528638995</v>
      </c>
      <c r="R117" s="125">
        <v>2.1886495007882298</v>
      </c>
      <c r="S117" s="73">
        <f t="shared" si="16"/>
        <v>15.385186797750924</v>
      </c>
      <c r="T117" t="s">
        <v>793</v>
      </c>
    </row>
    <row r="118" spans="1:20">
      <c r="A118" s="618" t="s">
        <v>734</v>
      </c>
      <c r="B118" s="618" t="s">
        <v>794</v>
      </c>
      <c r="C118" s="618" t="s">
        <v>838</v>
      </c>
      <c r="D118" s="631" t="s">
        <v>513</v>
      </c>
      <c r="E118" s="631" t="s">
        <v>799</v>
      </c>
      <c r="F118" s="628"/>
      <c r="G118" s="628">
        <v>3.35</v>
      </c>
      <c r="H118" s="628"/>
      <c r="I118" s="626">
        <f>4*0.0254*7850*0.0254*0.25</f>
        <v>5.0645059999999997</v>
      </c>
      <c r="J118" s="628">
        <v>1</v>
      </c>
      <c r="K118" s="140">
        <f t="shared" si="9"/>
        <v>16.9660951</v>
      </c>
      <c r="L118" s="140">
        <f t="shared" si="10"/>
        <v>0</v>
      </c>
      <c r="M118" s="140">
        <f t="shared" si="11"/>
        <v>0</v>
      </c>
      <c r="N118" s="140">
        <f t="shared" si="12"/>
        <v>0</v>
      </c>
      <c r="O118" s="140">
        <f t="shared" si="13"/>
        <v>16.9660951</v>
      </c>
      <c r="P118" s="140">
        <f t="shared" si="14"/>
        <v>0</v>
      </c>
      <c r="Q118" s="156">
        <f t="shared" si="15"/>
        <v>11.084428528638995</v>
      </c>
      <c r="R118" s="125">
        <v>2.1886495007882298</v>
      </c>
      <c r="S118" s="73">
        <f t="shared" si="16"/>
        <v>37.132835570940635</v>
      </c>
      <c r="T118" t="s">
        <v>793</v>
      </c>
    </row>
    <row r="119" spans="1:20">
      <c r="A119" s="618" t="s">
        <v>734</v>
      </c>
      <c r="B119" s="618" t="s">
        <v>794</v>
      </c>
      <c r="C119" s="618" t="s">
        <v>839</v>
      </c>
      <c r="D119" s="631" t="s">
        <v>513</v>
      </c>
      <c r="E119" s="631" t="s">
        <v>799</v>
      </c>
      <c r="F119" s="628"/>
      <c r="G119" s="628">
        <v>1.3879999999999999</v>
      </c>
      <c r="H119" s="628"/>
      <c r="I119" s="626">
        <f>2*0.0254*7850*0.0254*0.25</f>
        <v>2.5322529999999999</v>
      </c>
      <c r="J119" s="628">
        <v>1</v>
      </c>
      <c r="K119" s="140">
        <f t="shared" si="9"/>
        <v>3.5147671639999998</v>
      </c>
      <c r="L119" s="140">
        <f t="shared" si="10"/>
        <v>0</v>
      </c>
      <c r="M119" s="140">
        <f t="shared" si="11"/>
        <v>0</v>
      </c>
      <c r="N119" s="140">
        <f t="shared" si="12"/>
        <v>0</v>
      </c>
      <c r="O119" s="140">
        <f t="shared" si="13"/>
        <v>3.5147671639999998</v>
      </c>
      <c r="P119" s="140">
        <f t="shared" si="14"/>
        <v>0</v>
      </c>
      <c r="Q119" s="156">
        <f t="shared" si="15"/>
        <v>5.5422142643194974</v>
      </c>
      <c r="R119" s="125">
        <v>2.1886495007882298</v>
      </c>
      <c r="S119" s="73">
        <f t="shared" si="16"/>
        <v>7.692593398875462</v>
      </c>
      <c r="T119" t="s">
        <v>793</v>
      </c>
    </row>
    <row r="120" spans="1:20">
      <c r="A120" s="618" t="s">
        <v>734</v>
      </c>
      <c r="B120" s="618" t="s">
        <v>794</v>
      </c>
      <c r="C120" s="618" t="s">
        <v>839</v>
      </c>
      <c r="D120" s="631" t="s">
        <v>513</v>
      </c>
      <c r="E120" s="631" t="s">
        <v>799</v>
      </c>
      <c r="F120" s="628"/>
      <c r="G120" s="628">
        <v>3.35</v>
      </c>
      <c r="H120" s="628"/>
      <c r="I120" s="626">
        <f>2*0.0254*7850*0.0254*0.25</f>
        <v>2.5322529999999999</v>
      </c>
      <c r="J120" s="628">
        <v>1</v>
      </c>
      <c r="K120" s="140">
        <f t="shared" si="9"/>
        <v>8.4830475500000002</v>
      </c>
      <c r="L120" s="140">
        <f t="shared" si="10"/>
        <v>0</v>
      </c>
      <c r="M120" s="140">
        <f t="shared" si="11"/>
        <v>0</v>
      </c>
      <c r="N120" s="140">
        <f t="shared" si="12"/>
        <v>0</v>
      </c>
      <c r="O120" s="140">
        <f t="shared" si="13"/>
        <v>8.4830475500000002</v>
      </c>
      <c r="P120" s="140">
        <f t="shared" si="14"/>
        <v>0</v>
      </c>
      <c r="Q120" s="156">
        <f t="shared" si="15"/>
        <v>5.5422142643194974</v>
      </c>
      <c r="R120" s="125">
        <v>2.1886495007882298</v>
      </c>
      <c r="S120" s="73">
        <f t="shared" si="16"/>
        <v>18.566417785470318</v>
      </c>
      <c r="T120" t="s">
        <v>793</v>
      </c>
    </row>
    <row r="121" spans="1:20">
      <c r="A121" s="618" t="s">
        <v>734</v>
      </c>
      <c r="B121" s="618" t="s">
        <v>815</v>
      </c>
      <c r="C121" s="618" t="s">
        <v>816</v>
      </c>
      <c r="D121" s="631" t="s">
        <v>515</v>
      </c>
      <c r="E121" s="631" t="s">
        <v>817</v>
      </c>
      <c r="F121" s="628"/>
      <c r="G121" s="628">
        <v>1.3879999999999999</v>
      </c>
      <c r="H121" s="628"/>
      <c r="I121" s="626">
        <v>4.05</v>
      </c>
      <c r="J121" s="628">
        <v>1</v>
      </c>
      <c r="K121" s="140">
        <f t="shared" si="9"/>
        <v>5.6213999999999995</v>
      </c>
      <c r="L121" s="140">
        <f t="shared" si="10"/>
        <v>0</v>
      </c>
      <c r="M121" s="140">
        <f t="shared" si="11"/>
        <v>5.6213999999999995</v>
      </c>
      <c r="N121" s="140">
        <f t="shared" si="12"/>
        <v>0</v>
      </c>
      <c r="O121" s="140">
        <f t="shared" si="13"/>
        <v>0</v>
      </c>
      <c r="P121" s="140">
        <f t="shared" si="14"/>
        <v>0</v>
      </c>
      <c r="Q121" s="156">
        <f t="shared" si="15"/>
        <v>15.75520231213871</v>
      </c>
      <c r="R121" s="125">
        <v>3.8901734104046199</v>
      </c>
      <c r="S121" s="73">
        <f t="shared" si="16"/>
        <v>21.86822080924853</v>
      </c>
      <c r="T121" t="s">
        <v>793</v>
      </c>
    </row>
    <row r="122" spans="1:20">
      <c r="A122" s="618" t="s">
        <v>734</v>
      </c>
      <c r="B122" s="618" t="s">
        <v>815</v>
      </c>
      <c r="C122" s="618" t="s">
        <v>816</v>
      </c>
      <c r="D122" s="631" t="s">
        <v>515</v>
      </c>
      <c r="E122" s="631" t="s">
        <v>817</v>
      </c>
      <c r="F122" s="628"/>
      <c r="G122" s="628">
        <v>3.35</v>
      </c>
      <c r="H122" s="628"/>
      <c r="I122" s="626">
        <v>4.05</v>
      </c>
      <c r="J122" s="628">
        <v>1</v>
      </c>
      <c r="K122" s="140">
        <f t="shared" si="9"/>
        <v>13.567499999999999</v>
      </c>
      <c r="L122" s="140">
        <f t="shared" si="10"/>
        <v>0</v>
      </c>
      <c r="M122" s="140">
        <f t="shared" si="11"/>
        <v>13.567499999999999</v>
      </c>
      <c r="N122" s="140">
        <f t="shared" si="12"/>
        <v>0</v>
      </c>
      <c r="O122" s="140">
        <f t="shared" si="13"/>
        <v>0</v>
      </c>
      <c r="P122" s="140">
        <f t="shared" si="14"/>
        <v>0</v>
      </c>
      <c r="Q122" s="156">
        <f t="shared" si="15"/>
        <v>15.75520231213871</v>
      </c>
      <c r="R122" s="125">
        <v>3.8901734104046199</v>
      </c>
      <c r="S122" s="73">
        <f t="shared" si="16"/>
        <v>52.779927745664679</v>
      </c>
      <c r="T122" t="s">
        <v>793</v>
      </c>
    </row>
    <row r="123" spans="1:20">
      <c r="A123" s="618" t="s">
        <v>734</v>
      </c>
      <c r="B123" s="618" t="s">
        <v>794</v>
      </c>
      <c r="C123" s="618" t="s">
        <v>795</v>
      </c>
      <c r="D123" s="631" t="s">
        <v>515</v>
      </c>
      <c r="E123" s="633" t="s">
        <v>792</v>
      </c>
      <c r="F123" s="628"/>
      <c r="G123" s="628">
        <v>1.052</v>
      </c>
      <c r="H123" s="628"/>
      <c r="I123" s="626">
        <f>8*0.0254*7850*0.25*0.0254</f>
        <v>10.129011999999999</v>
      </c>
      <c r="J123" s="628">
        <v>6</v>
      </c>
      <c r="K123" s="140">
        <f t="shared" si="9"/>
        <v>63.934323744000004</v>
      </c>
      <c r="L123" s="140">
        <f t="shared" si="10"/>
        <v>0</v>
      </c>
      <c r="M123" s="140">
        <f t="shared" si="11"/>
        <v>0</v>
      </c>
      <c r="N123" s="140">
        <f t="shared" si="12"/>
        <v>0</v>
      </c>
      <c r="O123" s="140">
        <f t="shared" si="13"/>
        <v>63.934323744000004</v>
      </c>
      <c r="P123" s="140">
        <f t="shared" si="14"/>
        <v>0</v>
      </c>
      <c r="Q123" s="156">
        <f t="shared" si="15"/>
        <v>22.168857057277989</v>
      </c>
      <c r="R123" s="157">
        <v>2.1886495007882298</v>
      </c>
      <c r="S123" s="73">
        <f t="shared" si="16"/>
        <v>139.92982574553866</v>
      </c>
      <c r="T123" t="s">
        <v>793</v>
      </c>
    </row>
    <row r="124" spans="1:20">
      <c r="A124" s="618" t="s">
        <v>734</v>
      </c>
      <c r="B124" s="618" t="s">
        <v>794</v>
      </c>
      <c r="C124" s="618" t="s">
        <v>838</v>
      </c>
      <c r="D124" s="631" t="s">
        <v>513</v>
      </c>
      <c r="E124" s="631" t="s">
        <v>799</v>
      </c>
      <c r="F124" s="628"/>
      <c r="G124" s="628">
        <v>0.90400000000000003</v>
      </c>
      <c r="H124" s="628"/>
      <c r="I124" s="626">
        <f>4*0.0254*7850*0.0254*0.25</f>
        <v>5.0645059999999997</v>
      </c>
      <c r="J124" s="628">
        <v>1</v>
      </c>
      <c r="K124" s="140">
        <f t="shared" si="9"/>
        <v>4.5783134240000001</v>
      </c>
      <c r="L124" s="140">
        <f t="shared" si="10"/>
        <v>0</v>
      </c>
      <c r="M124" s="140">
        <f t="shared" si="11"/>
        <v>0</v>
      </c>
      <c r="N124" s="140">
        <f t="shared" si="12"/>
        <v>0</v>
      </c>
      <c r="O124" s="140">
        <f t="shared" si="13"/>
        <v>4.5783134240000001</v>
      </c>
      <c r="P124" s="140">
        <f t="shared" si="14"/>
        <v>0</v>
      </c>
      <c r="Q124" s="156">
        <f t="shared" si="15"/>
        <v>11.084428528638995</v>
      </c>
      <c r="R124" s="125">
        <v>2.1886495007882298</v>
      </c>
      <c r="S124" s="73">
        <f t="shared" si="16"/>
        <v>10.020323389889651</v>
      </c>
      <c r="T124" t="s">
        <v>793</v>
      </c>
    </row>
    <row r="125" spans="1:20">
      <c r="A125" s="618" t="s">
        <v>734</v>
      </c>
      <c r="B125" s="618" t="s">
        <v>794</v>
      </c>
      <c r="C125" s="618" t="s">
        <v>840</v>
      </c>
      <c r="D125" s="631" t="s">
        <v>515</v>
      </c>
      <c r="E125" s="633" t="s">
        <v>792</v>
      </c>
      <c r="F125" s="628"/>
      <c r="G125" s="628">
        <v>1.137</v>
      </c>
      <c r="H125" s="628"/>
      <c r="I125" s="626">
        <f>8*0.0254*7850*0.25*0.0254</f>
        <v>10.129011999999999</v>
      </c>
      <c r="J125" s="628">
        <v>2</v>
      </c>
      <c r="K125" s="140">
        <f t="shared" si="9"/>
        <v>23.033373288</v>
      </c>
      <c r="L125" s="140">
        <f t="shared" si="10"/>
        <v>0</v>
      </c>
      <c r="M125" s="140">
        <f t="shared" si="11"/>
        <v>0</v>
      </c>
      <c r="N125" s="140">
        <f t="shared" si="12"/>
        <v>0</v>
      </c>
      <c r="O125" s="140">
        <f t="shared" si="13"/>
        <v>23.033373288</v>
      </c>
      <c r="P125" s="140">
        <f t="shared" si="14"/>
        <v>0</v>
      </c>
      <c r="Q125" s="156">
        <f t="shared" si="15"/>
        <v>22.168857057277989</v>
      </c>
      <c r="R125" s="157">
        <v>2.1886495007882298</v>
      </c>
      <c r="S125" s="73">
        <f t="shared" si="16"/>
        <v>50.411980948250147</v>
      </c>
      <c r="T125" t="s">
        <v>793</v>
      </c>
    </row>
    <row r="126" spans="1:20">
      <c r="A126" s="618" t="s">
        <v>734</v>
      </c>
      <c r="B126" s="618" t="s">
        <v>794</v>
      </c>
      <c r="C126" s="618" t="s">
        <v>838</v>
      </c>
      <c r="D126" s="631" t="s">
        <v>513</v>
      </c>
      <c r="E126" s="631" t="s">
        <v>799</v>
      </c>
      <c r="F126" s="628"/>
      <c r="G126" s="628">
        <v>1.2909999999999999</v>
      </c>
      <c r="H126" s="628"/>
      <c r="I126" s="626">
        <f>4*0.0254*7850*0.0254*0.25</f>
        <v>5.0645059999999997</v>
      </c>
      <c r="J126" s="628">
        <v>1</v>
      </c>
      <c r="K126" s="140">
        <f t="shared" si="9"/>
        <v>6.5382772459999989</v>
      </c>
      <c r="L126" s="140">
        <f t="shared" si="10"/>
        <v>0</v>
      </c>
      <c r="M126" s="140">
        <f t="shared" si="11"/>
        <v>0</v>
      </c>
      <c r="N126" s="140">
        <f t="shared" si="12"/>
        <v>0</v>
      </c>
      <c r="O126" s="140">
        <f t="shared" si="13"/>
        <v>6.5382772459999989</v>
      </c>
      <c r="P126" s="140">
        <f t="shared" si="14"/>
        <v>0</v>
      </c>
      <c r="Q126" s="156">
        <f t="shared" si="15"/>
        <v>11.084428528638995</v>
      </c>
      <c r="R126" s="125">
        <v>2.1886495007882298</v>
      </c>
      <c r="S126" s="73">
        <f t="shared" si="16"/>
        <v>14.309997230472939</v>
      </c>
      <c r="T126" t="s">
        <v>793</v>
      </c>
    </row>
    <row r="127" spans="1:20">
      <c r="A127" s="618" t="s">
        <v>734</v>
      </c>
      <c r="B127" s="618" t="s">
        <v>794</v>
      </c>
      <c r="C127" s="618" t="s">
        <v>838</v>
      </c>
      <c r="D127" s="631" t="s">
        <v>513</v>
      </c>
      <c r="E127" s="631" t="s">
        <v>799</v>
      </c>
      <c r="F127" s="628"/>
      <c r="G127" s="628">
        <v>2.0670000000000002</v>
      </c>
      <c r="H127" s="628"/>
      <c r="I127" s="626">
        <f>4*0.0254*7850*0.0254*0.25</f>
        <v>5.0645059999999997</v>
      </c>
      <c r="J127" s="628">
        <v>2</v>
      </c>
      <c r="K127" s="140">
        <f t="shared" si="9"/>
        <v>20.936667803999999</v>
      </c>
      <c r="L127" s="140">
        <f t="shared" si="10"/>
        <v>0</v>
      </c>
      <c r="M127" s="140">
        <f t="shared" si="11"/>
        <v>0</v>
      </c>
      <c r="N127" s="140">
        <f t="shared" si="12"/>
        <v>0</v>
      </c>
      <c r="O127" s="140">
        <f t="shared" si="13"/>
        <v>20.936667803999999</v>
      </c>
      <c r="P127" s="140">
        <f t="shared" si="14"/>
        <v>0</v>
      </c>
      <c r="Q127" s="156">
        <f t="shared" si="15"/>
        <v>11.084428528638995</v>
      </c>
      <c r="R127" s="125">
        <v>2.1886495007882298</v>
      </c>
      <c r="S127" s="73">
        <f t="shared" si="16"/>
        <v>45.8230275373936</v>
      </c>
      <c r="T127" t="s">
        <v>793</v>
      </c>
    </row>
    <row r="128" spans="1:20">
      <c r="A128" s="618" t="s">
        <v>734</v>
      </c>
      <c r="B128" s="618" t="s">
        <v>794</v>
      </c>
      <c r="C128" s="618" t="s">
        <v>838</v>
      </c>
      <c r="D128" s="631" t="s">
        <v>513</v>
      </c>
      <c r="E128" s="631" t="s">
        <v>799</v>
      </c>
      <c r="F128" s="628"/>
      <c r="G128" s="628">
        <v>1.9650000000000001</v>
      </c>
      <c r="H128" s="628"/>
      <c r="I128" s="626">
        <f>4*0.0254*7850*0.0254*0.25</f>
        <v>5.0645059999999997</v>
      </c>
      <c r="J128" s="628">
        <v>2</v>
      </c>
      <c r="K128" s="140">
        <f t="shared" si="9"/>
        <v>19.90350858</v>
      </c>
      <c r="L128" s="140">
        <f t="shared" si="10"/>
        <v>0</v>
      </c>
      <c r="M128" s="140">
        <f t="shared" si="11"/>
        <v>0</v>
      </c>
      <c r="N128" s="140">
        <f t="shared" si="12"/>
        <v>0</v>
      </c>
      <c r="O128" s="140">
        <f t="shared" si="13"/>
        <v>19.90350858</v>
      </c>
      <c r="P128" s="140">
        <f t="shared" si="14"/>
        <v>0</v>
      </c>
      <c r="Q128" s="156">
        <f t="shared" si="15"/>
        <v>11.084428528638995</v>
      </c>
      <c r="R128" s="125">
        <v>2.1886495007882298</v>
      </c>
      <c r="S128" s="73">
        <f t="shared" si="16"/>
        <v>43.561804117551247</v>
      </c>
      <c r="T128" t="s">
        <v>793</v>
      </c>
    </row>
    <row r="129" spans="1:20">
      <c r="A129" s="618" t="s">
        <v>734</v>
      </c>
      <c r="B129" s="618" t="s">
        <v>794</v>
      </c>
      <c r="C129" s="618" t="s">
        <v>838</v>
      </c>
      <c r="D129" s="631" t="s">
        <v>513</v>
      </c>
      <c r="E129" s="631" t="s">
        <v>799</v>
      </c>
      <c r="F129" s="628"/>
      <c r="G129" s="628">
        <v>1.373</v>
      </c>
      <c r="H129" s="628"/>
      <c r="I129" s="626">
        <f>4*0.0254*7850*0.0254*0.25</f>
        <v>5.0645059999999997</v>
      </c>
      <c r="J129" s="628">
        <v>56</v>
      </c>
      <c r="K129" s="140">
        <f t="shared" si="9"/>
        <v>389.39973732799996</v>
      </c>
      <c r="L129" s="140">
        <f t="shared" si="10"/>
        <v>0</v>
      </c>
      <c r="M129" s="140">
        <f t="shared" si="11"/>
        <v>0</v>
      </c>
      <c r="N129" s="140">
        <f t="shared" si="12"/>
        <v>0</v>
      </c>
      <c r="O129" s="140">
        <f t="shared" si="13"/>
        <v>389.39973732799996</v>
      </c>
      <c r="P129" s="140">
        <f t="shared" si="14"/>
        <v>0</v>
      </c>
      <c r="Q129" s="156">
        <f t="shared" si="15"/>
        <v>11.084428528638995</v>
      </c>
      <c r="R129" s="125">
        <v>2.1886495007882298</v>
      </c>
      <c r="S129" s="73">
        <f t="shared" si="16"/>
        <v>852.25954070999489</v>
      </c>
      <c r="T129" t="s">
        <v>793</v>
      </c>
    </row>
    <row r="130" spans="1:20">
      <c r="A130" s="618" t="s">
        <v>734</v>
      </c>
      <c r="B130" s="618" t="s">
        <v>794</v>
      </c>
      <c r="C130" s="618" t="s">
        <v>838</v>
      </c>
      <c r="D130" s="631" t="s">
        <v>513</v>
      </c>
      <c r="E130" s="631" t="s">
        <v>799</v>
      </c>
      <c r="F130" s="628"/>
      <c r="G130" s="628">
        <v>0.95299999999999996</v>
      </c>
      <c r="H130" s="628"/>
      <c r="I130" s="626">
        <f>4*0.0254*7850*0.0254*0.25</f>
        <v>5.0645059999999997</v>
      </c>
      <c r="J130" s="628">
        <v>56</v>
      </c>
      <c r="K130" s="140">
        <f t="shared" si="9"/>
        <v>270.28255620799996</v>
      </c>
      <c r="L130" s="140">
        <f t="shared" si="10"/>
        <v>0</v>
      </c>
      <c r="M130" s="140">
        <f t="shared" si="11"/>
        <v>0</v>
      </c>
      <c r="N130" s="140">
        <f t="shared" si="12"/>
        <v>0</v>
      </c>
      <c r="O130" s="140">
        <f t="shared" si="13"/>
        <v>270.28255620799996</v>
      </c>
      <c r="P130" s="140">
        <f t="shared" si="14"/>
        <v>0</v>
      </c>
      <c r="Q130" s="156">
        <f t="shared" si="15"/>
        <v>11.084428528638995</v>
      </c>
      <c r="R130" s="125">
        <v>2.1886495007882298</v>
      </c>
      <c r="S130" s="73">
        <f t="shared" si="16"/>
        <v>591.55378171640575</v>
      </c>
      <c r="T130" t="s">
        <v>793</v>
      </c>
    </row>
    <row r="131" spans="1:20">
      <c r="A131" s="618" t="s">
        <v>734</v>
      </c>
      <c r="B131" s="618" t="s">
        <v>790</v>
      </c>
      <c r="C131" s="618" t="s">
        <v>814</v>
      </c>
      <c r="D131" s="631" t="s">
        <v>497</v>
      </c>
      <c r="E131" s="631" t="s">
        <v>792</v>
      </c>
      <c r="F131" s="628">
        <v>0.254</v>
      </c>
      <c r="G131" s="628">
        <v>0.254</v>
      </c>
      <c r="H131" s="628"/>
      <c r="I131" s="626">
        <f>8*0.0254*7850*0.25*0.0254</f>
        <v>10.129011999999999</v>
      </c>
      <c r="J131" s="628">
        <v>62</v>
      </c>
      <c r="K131" s="140">
        <f t="shared" ref="K131:K194" si="18">PRODUCT(F131:J131)</f>
        <v>40.515966967903999</v>
      </c>
      <c r="L131" s="140">
        <f t="shared" ref="L131:L194" si="19">IF(B131="Lámina",K131,0)</f>
        <v>40.515966967903999</v>
      </c>
      <c r="M131" s="140">
        <f t="shared" ref="M131:M194" si="20">IF(B131="Tubería",K131,0)</f>
        <v>0</v>
      </c>
      <c r="N131" s="140">
        <f t="shared" ref="N131:N194" si="21">IF(B131="Accesorio",K131,0)</f>
        <v>0</v>
      </c>
      <c r="O131" s="140">
        <f t="shared" ref="O131:O194" si="22">IF(B131="Perfil",K131,0)</f>
        <v>0</v>
      </c>
      <c r="P131" s="140">
        <f t="shared" ref="P131:P194" si="23">IF(B131="Tornillería",K131,0)</f>
        <v>0</v>
      </c>
      <c r="Q131" s="156">
        <f t="shared" ref="Q131:Q194" si="24">I131*R131</f>
        <v>20.668708835356906</v>
      </c>
      <c r="R131" s="125">
        <v>2.0405453992311302</v>
      </c>
      <c r="S131" s="73">
        <f t="shared" ref="S131:S194" si="25">R131*K131</f>
        <v>82.674669991756957</v>
      </c>
      <c r="T131" t="s">
        <v>793</v>
      </c>
    </row>
    <row r="132" spans="1:20">
      <c r="A132" s="618" t="s">
        <v>734</v>
      </c>
      <c r="B132" s="618" t="s">
        <v>794</v>
      </c>
      <c r="C132" s="618" t="s">
        <v>840</v>
      </c>
      <c r="D132" s="631" t="s">
        <v>515</v>
      </c>
      <c r="E132" s="633" t="s">
        <v>792</v>
      </c>
      <c r="F132" s="628"/>
      <c r="G132" s="628">
        <v>2.173</v>
      </c>
      <c r="H132" s="628"/>
      <c r="I132" s="626">
        <f>8*0.0254*7850*0.25*0.0254</f>
        <v>10.129011999999999</v>
      </c>
      <c r="J132" s="628">
        <v>3</v>
      </c>
      <c r="K132" s="140">
        <f t="shared" si="18"/>
        <v>66.031029227999994</v>
      </c>
      <c r="L132" s="140">
        <f t="shared" si="19"/>
        <v>0</v>
      </c>
      <c r="M132" s="140">
        <f t="shared" si="20"/>
        <v>0</v>
      </c>
      <c r="N132" s="140">
        <f t="shared" si="21"/>
        <v>0</v>
      </c>
      <c r="O132" s="140">
        <f t="shared" si="22"/>
        <v>66.031029227999994</v>
      </c>
      <c r="P132" s="140">
        <f t="shared" si="23"/>
        <v>0</v>
      </c>
      <c r="Q132" s="156">
        <f t="shared" si="24"/>
        <v>22.168857057277989</v>
      </c>
      <c r="R132" s="157">
        <v>2.1886495007882298</v>
      </c>
      <c r="S132" s="73">
        <f t="shared" si="25"/>
        <v>144.5187791563952</v>
      </c>
      <c r="T132" t="s">
        <v>793</v>
      </c>
    </row>
    <row r="133" spans="1:20">
      <c r="A133" s="618" t="s">
        <v>734</v>
      </c>
      <c r="B133" s="618" t="s">
        <v>794</v>
      </c>
      <c r="C133" s="618" t="s">
        <v>841</v>
      </c>
      <c r="D133" s="631" t="s">
        <v>513</v>
      </c>
      <c r="E133" s="631" t="s">
        <v>799</v>
      </c>
      <c r="F133" s="628"/>
      <c r="G133" s="628">
        <v>2.99</v>
      </c>
      <c r="H133" s="628"/>
      <c r="I133" s="626">
        <f>4*0.0254*7850*0.0254*3/8</f>
        <v>7.5967589999999996</v>
      </c>
      <c r="J133" s="628">
        <v>1</v>
      </c>
      <c r="K133" s="140">
        <f t="shared" si="18"/>
        <v>22.714309410000002</v>
      </c>
      <c r="L133" s="140">
        <f t="shared" si="19"/>
        <v>0</v>
      </c>
      <c r="M133" s="140">
        <f t="shared" si="20"/>
        <v>0</v>
      </c>
      <c r="N133" s="140">
        <f t="shared" si="21"/>
        <v>0</v>
      </c>
      <c r="O133" s="140">
        <f t="shared" si="22"/>
        <v>22.714309410000002</v>
      </c>
      <c r="P133" s="140">
        <f t="shared" si="23"/>
        <v>0</v>
      </c>
      <c r="Q133" s="156">
        <f t="shared" si="24"/>
        <v>16.626642792958492</v>
      </c>
      <c r="R133" s="125">
        <v>2.1886495007882298</v>
      </c>
      <c r="S133" s="73">
        <f t="shared" si="25"/>
        <v>49.713661950945898</v>
      </c>
      <c r="T133" t="s">
        <v>793</v>
      </c>
    </row>
    <row r="134" spans="1:20">
      <c r="A134" s="618" t="s">
        <v>734</v>
      </c>
      <c r="B134" s="618" t="s">
        <v>794</v>
      </c>
      <c r="C134" s="618" t="s">
        <v>795</v>
      </c>
      <c r="D134" s="631" t="s">
        <v>515</v>
      </c>
      <c r="E134" s="633" t="s">
        <v>792</v>
      </c>
      <c r="F134" s="628"/>
      <c r="G134" s="628">
        <v>1.052</v>
      </c>
      <c r="H134" s="628"/>
      <c r="I134" s="626">
        <f>6*0.0254*7850*5*0.0254/16</f>
        <v>9.4959487500000002</v>
      </c>
      <c r="J134" s="628">
        <v>120</v>
      </c>
      <c r="K134" s="140">
        <f t="shared" si="18"/>
        <v>1198.7685702000001</v>
      </c>
      <c r="L134" s="140">
        <f t="shared" si="19"/>
        <v>0</v>
      </c>
      <c r="M134" s="140">
        <f t="shared" si="20"/>
        <v>0</v>
      </c>
      <c r="N134" s="140">
        <f t="shared" si="21"/>
        <v>0</v>
      </c>
      <c r="O134" s="140">
        <f t="shared" si="22"/>
        <v>1198.7685702000001</v>
      </c>
      <c r="P134" s="140">
        <f t="shared" si="23"/>
        <v>0</v>
      </c>
      <c r="Q134" s="156">
        <f t="shared" si="24"/>
        <v>20.783303491198115</v>
      </c>
      <c r="R134" s="157">
        <v>2.1886495007882298</v>
      </c>
      <c r="S134" s="73">
        <f t="shared" si="25"/>
        <v>2623.6842327288505</v>
      </c>
      <c r="T134" t="s">
        <v>793</v>
      </c>
    </row>
    <row r="135" spans="1:20">
      <c r="A135" s="618" t="s">
        <v>734</v>
      </c>
      <c r="B135" s="618" t="s">
        <v>815</v>
      </c>
      <c r="C135" s="618" t="s">
        <v>816</v>
      </c>
      <c r="D135" s="631" t="s">
        <v>515</v>
      </c>
      <c r="E135" s="631" t="s">
        <v>817</v>
      </c>
      <c r="F135" s="628"/>
      <c r="G135" s="628">
        <v>3.3279999999999998</v>
      </c>
      <c r="H135" s="628"/>
      <c r="I135" s="626">
        <v>4.05</v>
      </c>
      <c r="J135" s="628">
        <v>2</v>
      </c>
      <c r="K135" s="140">
        <f t="shared" si="18"/>
        <v>26.956799999999998</v>
      </c>
      <c r="L135" s="140">
        <f t="shared" si="19"/>
        <v>0</v>
      </c>
      <c r="M135" s="140">
        <f t="shared" si="20"/>
        <v>26.956799999999998</v>
      </c>
      <c r="N135" s="140">
        <f t="shared" si="21"/>
        <v>0</v>
      </c>
      <c r="O135" s="140">
        <f t="shared" si="22"/>
        <v>0</v>
      </c>
      <c r="P135" s="140">
        <f t="shared" si="23"/>
        <v>0</v>
      </c>
      <c r="Q135" s="156">
        <f t="shared" si="24"/>
        <v>15.75520231213871</v>
      </c>
      <c r="R135" s="125">
        <v>3.8901734104046199</v>
      </c>
      <c r="S135" s="73">
        <f t="shared" si="25"/>
        <v>104.86662658959526</v>
      </c>
      <c r="T135" t="s">
        <v>793</v>
      </c>
    </row>
    <row r="136" spans="1:20">
      <c r="A136" s="618" t="s">
        <v>734</v>
      </c>
      <c r="B136" s="618" t="s">
        <v>815</v>
      </c>
      <c r="C136" s="618" t="s">
        <v>816</v>
      </c>
      <c r="D136" s="631" t="s">
        <v>515</v>
      </c>
      <c r="E136" s="631" t="s">
        <v>817</v>
      </c>
      <c r="F136" s="628"/>
      <c r="G136" s="628">
        <v>3.1890000000000001</v>
      </c>
      <c r="H136" s="628"/>
      <c r="I136" s="626">
        <v>4.05</v>
      </c>
      <c r="J136" s="628">
        <v>3</v>
      </c>
      <c r="K136" s="140">
        <f t="shared" si="18"/>
        <v>38.74635</v>
      </c>
      <c r="L136" s="140">
        <f t="shared" si="19"/>
        <v>0</v>
      </c>
      <c r="M136" s="140">
        <f t="shared" si="20"/>
        <v>38.74635</v>
      </c>
      <c r="N136" s="140">
        <f t="shared" si="21"/>
        <v>0</v>
      </c>
      <c r="O136" s="140">
        <f t="shared" si="22"/>
        <v>0</v>
      </c>
      <c r="P136" s="140">
        <f t="shared" si="23"/>
        <v>0</v>
      </c>
      <c r="Q136" s="156">
        <f t="shared" si="24"/>
        <v>15.75520231213871</v>
      </c>
      <c r="R136" s="125">
        <v>3.8901734104046199</v>
      </c>
      <c r="S136" s="73">
        <f t="shared" si="25"/>
        <v>150.73002052023105</v>
      </c>
      <c r="T136" t="s">
        <v>793</v>
      </c>
    </row>
    <row r="137" spans="1:20">
      <c r="A137" s="618" t="s">
        <v>734</v>
      </c>
      <c r="B137" s="618" t="s">
        <v>815</v>
      </c>
      <c r="C137" s="618" t="s">
        <v>816</v>
      </c>
      <c r="D137" s="631" t="s">
        <v>515</v>
      </c>
      <c r="E137" s="631" t="s">
        <v>817</v>
      </c>
      <c r="F137" s="628"/>
      <c r="G137" s="628">
        <v>3.0720000000000001</v>
      </c>
      <c r="H137" s="628"/>
      <c r="I137" s="626">
        <v>4.05</v>
      </c>
      <c r="J137" s="628">
        <v>55</v>
      </c>
      <c r="K137" s="140">
        <f t="shared" si="18"/>
        <v>684.28800000000001</v>
      </c>
      <c r="L137" s="140">
        <f t="shared" si="19"/>
        <v>0</v>
      </c>
      <c r="M137" s="140">
        <f t="shared" si="20"/>
        <v>684.28800000000001</v>
      </c>
      <c r="N137" s="140">
        <f t="shared" si="21"/>
        <v>0</v>
      </c>
      <c r="O137" s="140">
        <f t="shared" si="22"/>
        <v>0</v>
      </c>
      <c r="P137" s="140">
        <f t="shared" si="23"/>
        <v>0</v>
      </c>
      <c r="Q137" s="156">
        <f t="shared" si="24"/>
        <v>15.75520231213871</v>
      </c>
      <c r="R137" s="125">
        <v>3.8901734104046199</v>
      </c>
      <c r="S137" s="73">
        <f t="shared" si="25"/>
        <v>2661.9989826589567</v>
      </c>
      <c r="T137" t="s">
        <v>793</v>
      </c>
    </row>
    <row r="138" spans="1:20">
      <c r="A138" s="618" t="s">
        <v>734</v>
      </c>
      <c r="B138" s="618" t="s">
        <v>794</v>
      </c>
      <c r="C138" s="618" t="s">
        <v>839</v>
      </c>
      <c r="D138" s="631" t="s">
        <v>513</v>
      </c>
      <c r="E138" s="631" t="s">
        <v>799</v>
      </c>
      <c r="F138" s="628"/>
      <c r="G138" s="628">
        <v>3.1890000000000001</v>
      </c>
      <c r="H138" s="628"/>
      <c r="I138" s="626">
        <f>2*0.0254*7850*0.0254*0.25</f>
        <v>2.5322529999999999</v>
      </c>
      <c r="J138" s="628">
        <v>3</v>
      </c>
      <c r="K138" s="140">
        <f t="shared" si="18"/>
        <v>24.226064450999999</v>
      </c>
      <c r="L138" s="140">
        <f t="shared" si="19"/>
        <v>0</v>
      </c>
      <c r="M138" s="140">
        <f t="shared" si="20"/>
        <v>0</v>
      </c>
      <c r="N138" s="140">
        <f t="shared" si="21"/>
        <v>0</v>
      </c>
      <c r="O138" s="140">
        <f t="shared" si="22"/>
        <v>24.226064450999999</v>
      </c>
      <c r="P138" s="140">
        <f t="shared" si="23"/>
        <v>0</v>
      </c>
      <c r="Q138" s="156">
        <f t="shared" si="24"/>
        <v>5.5422142643194974</v>
      </c>
      <c r="R138" s="125">
        <v>2.1886495007882298</v>
      </c>
      <c r="S138" s="73">
        <f t="shared" si="25"/>
        <v>53.022363866744627</v>
      </c>
      <c r="T138" t="s">
        <v>793</v>
      </c>
    </row>
    <row r="139" spans="1:20">
      <c r="A139" s="618" t="s">
        <v>734</v>
      </c>
      <c r="B139" s="618" t="s">
        <v>794</v>
      </c>
      <c r="C139" s="618" t="s">
        <v>839</v>
      </c>
      <c r="D139" s="631" t="s">
        <v>513</v>
      </c>
      <c r="E139" s="631" t="s">
        <v>799</v>
      </c>
      <c r="F139" s="628"/>
      <c r="G139" s="628">
        <v>3.3279999999999998</v>
      </c>
      <c r="H139" s="628"/>
      <c r="I139" s="626">
        <f>2*0.0254*7850*0.0254*0.25</f>
        <v>2.5322529999999999</v>
      </c>
      <c r="J139" s="628">
        <v>2</v>
      </c>
      <c r="K139" s="140">
        <f t="shared" si="18"/>
        <v>16.854675967999999</v>
      </c>
      <c r="L139" s="140">
        <f t="shared" si="19"/>
        <v>0</v>
      </c>
      <c r="M139" s="140">
        <f t="shared" si="20"/>
        <v>0</v>
      </c>
      <c r="N139" s="140">
        <f t="shared" si="21"/>
        <v>0</v>
      </c>
      <c r="O139" s="140">
        <f t="shared" si="22"/>
        <v>16.854675967999999</v>
      </c>
      <c r="P139" s="140">
        <f t="shared" si="23"/>
        <v>0</v>
      </c>
      <c r="Q139" s="156">
        <f t="shared" si="24"/>
        <v>5.5422142643194974</v>
      </c>
      <c r="R139" s="125">
        <v>2.1886495007882298</v>
      </c>
      <c r="S139" s="73">
        <f t="shared" si="25"/>
        <v>36.888978143310574</v>
      </c>
      <c r="T139" t="s">
        <v>793</v>
      </c>
    </row>
    <row r="140" spans="1:20">
      <c r="A140" s="618" t="s">
        <v>734</v>
      </c>
      <c r="B140" s="618" t="s">
        <v>794</v>
      </c>
      <c r="C140" s="618" t="s">
        <v>839</v>
      </c>
      <c r="D140" s="631" t="s">
        <v>513</v>
      </c>
      <c r="E140" s="631" t="s">
        <v>799</v>
      </c>
      <c r="F140" s="628"/>
      <c r="G140" s="628">
        <v>3.0720000000000001</v>
      </c>
      <c r="H140" s="628"/>
      <c r="I140" s="626">
        <f>2*0.0254*7850*0.0254*0.25</f>
        <v>2.5322529999999999</v>
      </c>
      <c r="J140" s="628">
        <v>55</v>
      </c>
      <c r="K140" s="140">
        <f t="shared" si="18"/>
        <v>427.84946687999997</v>
      </c>
      <c r="L140" s="140">
        <f t="shared" si="19"/>
        <v>0</v>
      </c>
      <c r="M140" s="140">
        <f t="shared" si="20"/>
        <v>0</v>
      </c>
      <c r="N140" s="140">
        <f t="shared" si="21"/>
        <v>0</v>
      </c>
      <c r="O140" s="140">
        <f t="shared" si="22"/>
        <v>427.84946687999997</v>
      </c>
      <c r="P140" s="140">
        <f t="shared" si="23"/>
        <v>0</v>
      </c>
      <c r="Q140" s="156">
        <f t="shared" si="24"/>
        <v>5.5422142643194974</v>
      </c>
      <c r="R140" s="125">
        <v>2.1886495007882298</v>
      </c>
      <c r="S140" s="73">
        <f t="shared" si="25"/>
        <v>936.41252209942218</v>
      </c>
      <c r="T140" t="s">
        <v>793</v>
      </c>
    </row>
    <row r="141" spans="1:20">
      <c r="A141" s="618" t="s">
        <v>734</v>
      </c>
      <c r="B141" s="618" t="s">
        <v>794</v>
      </c>
      <c r="C141" s="618" t="s">
        <v>841</v>
      </c>
      <c r="D141" s="631" t="s">
        <v>513</v>
      </c>
      <c r="E141" s="631" t="s">
        <v>799</v>
      </c>
      <c r="F141" s="628"/>
      <c r="G141" s="628">
        <v>0.95299999999999996</v>
      </c>
      <c r="H141" s="628"/>
      <c r="I141" s="626">
        <f>4*0.0254*7850*0.0254*3/8</f>
        <v>7.5967589999999996</v>
      </c>
      <c r="J141" s="628">
        <v>2</v>
      </c>
      <c r="K141" s="140">
        <f t="shared" si="18"/>
        <v>14.479422653999999</v>
      </c>
      <c r="L141" s="140">
        <f t="shared" si="19"/>
        <v>0</v>
      </c>
      <c r="M141" s="140">
        <f t="shared" si="20"/>
        <v>0</v>
      </c>
      <c r="N141" s="140">
        <f t="shared" si="21"/>
        <v>0</v>
      </c>
      <c r="O141" s="140">
        <f t="shared" si="22"/>
        <v>14.479422653999999</v>
      </c>
      <c r="P141" s="140">
        <f t="shared" si="23"/>
        <v>0</v>
      </c>
      <c r="Q141" s="156">
        <f t="shared" si="24"/>
        <v>16.626642792958492</v>
      </c>
      <c r="R141" s="125">
        <v>2.1886495007882298</v>
      </c>
      <c r="S141" s="73">
        <f t="shared" si="25"/>
        <v>31.690381163378884</v>
      </c>
      <c r="T141" t="s">
        <v>793</v>
      </c>
    </row>
    <row r="142" spans="1:20">
      <c r="A142" s="618" t="s">
        <v>734</v>
      </c>
      <c r="B142" s="618" t="s">
        <v>794</v>
      </c>
      <c r="C142" s="618" t="s">
        <v>842</v>
      </c>
      <c r="D142" s="631" t="s">
        <v>515</v>
      </c>
      <c r="E142" s="633" t="s">
        <v>792</v>
      </c>
      <c r="F142" s="628"/>
      <c r="G142" s="628">
        <v>4.7969999999999997</v>
      </c>
      <c r="H142" s="628"/>
      <c r="I142" s="626">
        <f>8*0.0254*7850*3*0.0254/8</f>
        <v>15.193517999999999</v>
      </c>
      <c r="J142" s="628">
        <v>1</v>
      </c>
      <c r="K142" s="140">
        <f t="shared" si="18"/>
        <v>72.883305845999985</v>
      </c>
      <c r="L142" s="140">
        <f t="shared" si="19"/>
        <v>0</v>
      </c>
      <c r="M142" s="140">
        <f t="shared" si="20"/>
        <v>0</v>
      </c>
      <c r="N142" s="140">
        <f t="shared" si="21"/>
        <v>0</v>
      </c>
      <c r="O142" s="140">
        <f t="shared" si="22"/>
        <v>72.883305845999985</v>
      </c>
      <c r="P142" s="140">
        <f t="shared" si="23"/>
        <v>0</v>
      </c>
      <c r="Q142" s="156">
        <f t="shared" si="24"/>
        <v>33.253285585916984</v>
      </c>
      <c r="R142" s="157">
        <v>2.1886495007882298</v>
      </c>
      <c r="S142" s="73">
        <f t="shared" si="25"/>
        <v>159.51601095564374</v>
      </c>
      <c r="T142" t="s">
        <v>793</v>
      </c>
    </row>
    <row r="143" spans="1:20">
      <c r="A143" s="618" t="s">
        <v>734</v>
      </c>
      <c r="B143" s="618" t="s">
        <v>790</v>
      </c>
      <c r="C143" s="618" t="s">
        <v>814</v>
      </c>
      <c r="D143" s="631" t="s">
        <v>497</v>
      </c>
      <c r="E143" s="631" t="s">
        <v>792</v>
      </c>
      <c r="F143" s="628">
        <v>3.089</v>
      </c>
      <c r="G143" s="628">
        <v>2.2879999999999998</v>
      </c>
      <c r="H143" s="628"/>
      <c r="I143" s="626">
        <f t="shared" ref="I143:I148" si="26">6*0.0254*7850*5*0.0254/16</f>
        <v>9.4959487500000002</v>
      </c>
      <c r="J143" s="628">
        <v>2</v>
      </c>
      <c r="K143" s="140">
        <f t="shared" si="18"/>
        <v>134.22774251172001</v>
      </c>
      <c r="L143" s="140">
        <f t="shared" si="19"/>
        <v>134.22774251172001</v>
      </c>
      <c r="M143" s="140">
        <f t="shared" si="20"/>
        <v>0</v>
      </c>
      <c r="N143" s="140">
        <f t="shared" si="21"/>
        <v>0</v>
      </c>
      <c r="O143" s="140">
        <f t="shared" si="22"/>
        <v>0</v>
      </c>
      <c r="P143" s="140">
        <f t="shared" si="23"/>
        <v>0</v>
      </c>
      <c r="Q143" s="156">
        <f t="shared" si="24"/>
        <v>19.376914533147101</v>
      </c>
      <c r="R143" s="125">
        <v>2.0405453992311302</v>
      </c>
      <c r="S143" s="73">
        <f t="shared" si="25"/>
        <v>273.89780243147106</v>
      </c>
      <c r="T143" t="s">
        <v>793</v>
      </c>
    </row>
    <row r="144" spans="1:20">
      <c r="A144" s="618" t="s">
        <v>734</v>
      </c>
      <c r="B144" s="618" t="s">
        <v>790</v>
      </c>
      <c r="C144" s="618" t="s">
        <v>814</v>
      </c>
      <c r="D144" s="631" t="s">
        <v>497</v>
      </c>
      <c r="E144" s="631" t="s">
        <v>792</v>
      </c>
      <c r="F144" s="628">
        <v>3.0880000000000001</v>
      </c>
      <c r="G144" s="628">
        <v>1.1739999999999999</v>
      </c>
      <c r="H144" s="628"/>
      <c r="I144" s="626">
        <f t="shared" si="26"/>
        <v>9.4959487500000002</v>
      </c>
      <c r="J144" s="628">
        <v>1</v>
      </c>
      <c r="K144" s="140">
        <f t="shared" si="18"/>
        <v>34.425776954760003</v>
      </c>
      <c r="L144" s="140">
        <f t="shared" si="19"/>
        <v>34.425776954760003</v>
      </c>
      <c r="M144" s="140">
        <f t="shared" si="20"/>
        <v>0</v>
      </c>
      <c r="N144" s="140">
        <f t="shared" si="21"/>
        <v>0</v>
      </c>
      <c r="O144" s="140">
        <f t="shared" si="22"/>
        <v>0</v>
      </c>
      <c r="P144" s="140">
        <f t="shared" si="23"/>
        <v>0</v>
      </c>
      <c r="Q144" s="156">
        <f t="shared" si="24"/>
        <v>19.376914533147101</v>
      </c>
      <c r="R144" s="125">
        <v>2.0405453992311302</v>
      </c>
      <c r="S144" s="73">
        <f t="shared" si="25"/>
        <v>70.24736077999259</v>
      </c>
      <c r="T144" t="s">
        <v>793</v>
      </c>
    </row>
    <row r="145" spans="1:20">
      <c r="A145" s="618" t="s">
        <v>734</v>
      </c>
      <c r="B145" s="618" t="s">
        <v>790</v>
      </c>
      <c r="C145" s="618" t="s">
        <v>814</v>
      </c>
      <c r="D145" s="631" t="s">
        <v>497</v>
      </c>
      <c r="E145" s="631" t="s">
        <v>792</v>
      </c>
      <c r="F145" s="628">
        <v>3.1070000000000002</v>
      </c>
      <c r="G145" s="628">
        <v>2.2709999999999999</v>
      </c>
      <c r="H145" s="628"/>
      <c r="I145" s="626">
        <f t="shared" si="26"/>
        <v>9.4959487500000002</v>
      </c>
      <c r="J145" s="628">
        <v>1</v>
      </c>
      <c r="K145" s="140">
        <f t="shared" si="18"/>
        <v>67.003385892153759</v>
      </c>
      <c r="L145" s="140">
        <f t="shared" si="19"/>
        <v>67.003385892153759</v>
      </c>
      <c r="M145" s="140">
        <f t="shared" si="20"/>
        <v>0</v>
      </c>
      <c r="N145" s="140">
        <f t="shared" si="21"/>
        <v>0</v>
      </c>
      <c r="O145" s="140">
        <f t="shared" si="22"/>
        <v>0</v>
      </c>
      <c r="P145" s="140">
        <f t="shared" si="23"/>
        <v>0</v>
      </c>
      <c r="Q145" s="156">
        <f t="shared" si="24"/>
        <v>19.376914533147101</v>
      </c>
      <c r="R145" s="125">
        <v>2.0405453992311302</v>
      </c>
      <c r="S145" s="73">
        <f t="shared" si="25"/>
        <v>136.72345081514237</v>
      </c>
      <c r="T145" t="s">
        <v>793</v>
      </c>
    </row>
    <row r="146" spans="1:20">
      <c r="A146" s="618" t="s">
        <v>734</v>
      </c>
      <c r="B146" s="618" t="s">
        <v>790</v>
      </c>
      <c r="C146" s="618" t="s">
        <v>814</v>
      </c>
      <c r="D146" s="631" t="s">
        <v>497</v>
      </c>
      <c r="E146" s="631" t="s">
        <v>792</v>
      </c>
      <c r="F146" s="628">
        <v>3.1070000000000002</v>
      </c>
      <c r="G146" s="628">
        <v>2.2709999999999999</v>
      </c>
      <c r="H146" s="628"/>
      <c r="I146" s="626">
        <f t="shared" si="26"/>
        <v>9.4959487500000002</v>
      </c>
      <c r="J146" s="628">
        <v>1</v>
      </c>
      <c r="K146" s="140">
        <f t="shared" si="18"/>
        <v>67.003385892153759</v>
      </c>
      <c r="L146" s="140">
        <f t="shared" si="19"/>
        <v>67.003385892153759</v>
      </c>
      <c r="M146" s="140">
        <f t="shared" si="20"/>
        <v>0</v>
      </c>
      <c r="N146" s="140">
        <f t="shared" si="21"/>
        <v>0</v>
      </c>
      <c r="O146" s="140">
        <f t="shared" si="22"/>
        <v>0</v>
      </c>
      <c r="P146" s="140">
        <f t="shared" si="23"/>
        <v>0</v>
      </c>
      <c r="Q146" s="156">
        <f t="shared" si="24"/>
        <v>19.376914533147101</v>
      </c>
      <c r="R146" s="125">
        <v>2.0405453992311302</v>
      </c>
      <c r="S146" s="73">
        <f t="shared" si="25"/>
        <v>136.72345081514237</v>
      </c>
      <c r="T146" t="s">
        <v>793</v>
      </c>
    </row>
    <row r="147" spans="1:20">
      <c r="A147" s="618" t="s">
        <v>734</v>
      </c>
      <c r="B147" s="618" t="s">
        <v>790</v>
      </c>
      <c r="C147" s="618" t="s">
        <v>814</v>
      </c>
      <c r="D147" s="631" t="s">
        <v>497</v>
      </c>
      <c r="E147" s="631" t="s">
        <v>792</v>
      </c>
      <c r="F147" s="628">
        <v>2.972</v>
      </c>
      <c r="G147" s="628">
        <v>1.173</v>
      </c>
      <c r="H147" s="628"/>
      <c r="I147" s="626">
        <f t="shared" si="26"/>
        <v>9.4959487500000002</v>
      </c>
      <c r="J147" s="628">
        <v>55</v>
      </c>
      <c r="K147" s="140">
        <f t="shared" si="18"/>
        <v>1820.7397290777751</v>
      </c>
      <c r="L147" s="140">
        <f t="shared" si="19"/>
        <v>1820.7397290777751</v>
      </c>
      <c r="M147" s="140">
        <f t="shared" si="20"/>
        <v>0</v>
      </c>
      <c r="N147" s="140">
        <f t="shared" si="21"/>
        <v>0</v>
      </c>
      <c r="O147" s="140">
        <f t="shared" si="22"/>
        <v>0</v>
      </c>
      <c r="P147" s="140">
        <f t="shared" si="23"/>
        <v>0</v>
      </c>
      <c r="Q147" s="156">
        <f t="shared" si="24"/>
        <v>19.376914533147101</v>
      </c>
      <c r="R147" s="125">
        <v>2.0405453992311302</v>
      </c>
      <c r="S147" s="73">
        <f t="shared" si="25"/>
        <v>3715.3020773669887</v>
      </c>
      <c r="T147" t="s">
        <v>793</v>
      </c>
    </row>
    <row r="148" spans="1:20">
      <c r="A148" s="618" t="s">
        <v>754</v>
      </c>
      <c r="B148" s="618" t="s">
        <v>790</v>
      </c>
      <c r="C148" s="618" t="s">
        <v>791</v>
      </c>
      <c r="D148" s="631" t="s">
        <v>497</v>
      </c>
      <c r="E148" s="631" t="s">
        <v>792</v>
      </c>
      <c r="F148" s="627">
        <v>0.10100000000000001</v>
      </c>
      <c r="G148" s="627">
        <v>0.14499999999999999</v>
      </c>
      <c r="H148" s="627"/>
      <c r="I148" s="625">
        <f t="shared" si="26"/>
        <v>9.4959487500000002</v>
      </c>
      <c r="J148" s="627">
        <v>4</v>
      </c>
      <c r="K148" s="140">
        <f t="shared" si="18"/>
        <v>0.556272677775</v>
      </c>
      <c r="L148" s="140">
        <f t="shared" si="19"/>
        <v>0.556272677775</v>
      </c>
      <c r="M148" s="140">
        <f t="shared" si="20"/>
        <v>0</v>
      </c>
      <c r="N148" s="140">
        <f t="shared" si="21"/>
        <v>0</v>
      </c>
      <c r="O148" s="140">
        <f t="shared" si="22"/>
        <v>0</v>
      </c>
      <c r="P148" s="140">
        <f t="shared" si="23"/>
        <v>0</v>
      </c>
      <c r="Q148" s="156">
        <f t="shared" si="24"/>
        <v>19.376914533147101</v>
      </c>
      <c r="R148" s="125">
        <v>2.0405453992311302</v>
      </c>
      <c r="S148" s="73">
        <f t="shared" si="25"/>
        <v>1.1350996533517572</v>
      </c>
      <c r="T148" t="s">
        <v>793</v>
      </c>
    </row>
    <row r="149" spans="1:20">
      <c r="A149" s="618" t="s">
        <v>754</v>
      </c>
      <c r="B149" s="618" t="s">
        <v>797</v>
      </c>
      <c r="C149" s="618" t="s">
        <v>843</v>
      </c>
      <c r="D149" s="631" t="s">
        <v>513</v>
      </c>
      <c r="E149" s="631" t="s">
        <v>799</v>
      </c>
      <c r="F149" s="628"/>
      <c r="G149" s="628"/>
      <c r="H149" s="628"/>
      <c r="I149" s="626">
        <v>0.1</v>
      </c>
      <c r="J149" s="628">
        <v>6</v>
      </c>
      <c r="K149" s="140">
        <f t="shared" si="18"/>
        <v>0.60000000000000009</v>
      </c>
      <c r="L149" s="140">
        <f t="shared" si="19"/>
        <v>0</v>
      </c>
      <c r="M149" s="140">
        <f t="shared" si="20"/>
        <v>0</v>
      </c>
      <c r="N149" s="140">
        <f t="shared" si="21"/>
        <v>0</v>
      </c>
      <c r="O149" s="140">
        <f t="shared" si="22"/>
        <v>0</v>
      </c>
      <c r="P149" s="140">
        <f t="shared" si="23"/>
        <v>0.60000000000000009</v>
      </c>
      <c r="Q149" s="156">
        <f t="shared" si="24"/>
        <v>0.32133473462953205</v>
      </c>
      <c r="R149" s="125">
        <v>3.2133473462953202</v>
      </c>
      <c r="S149" s="73">
        <f t="shared" si="25"/>
        <v>1.9280084077771924</v>
      </c>
      <c r="T149" t="s">
        <v>800</v>
      </c>
    </row>
    <row r="150" spans="1:20">
      <c r="A150" s="618" t="s">
        <v>754</v>
      </c>
      <c r="B150" s="618" t="s">
        <v>797</v>
      </c>
      <c r="C150" s="618" t="s">
        <v>844</v>
      </c>
      <c r="D150" s="631" t="s">
        <v>513</v>
      </c>
      <c r="E150" s="631" t="s">
        <v>799</v>
      </c>
      <c r="F150" s="628"/>
      <c r="G150" s="628"/>
      <c r="H150" s="628"/>
      <c r="I150" s="626">
        <v>0.38</v>
      </c>
      <c r="J150" s="628">
        <v>3</v>
      </c>
      <c r="K150" s="140">
        <f t="shared" si="18"/>
        <v>1.1400000000000001</v>
      </c>
      <c r="L150" s="140">
        <f t="shared" si="19"/>
        <v>0</v>
      </c>
      <c r="M150" s="140">
        <f t="shared" si="20"/>
        <v>0</v>
      </c>
      <c r="N150" s="140">
        <f t="shared" si="21"/>
        <v>0</v>
      </c>
      <c r="O150" s="140">
        <f t="shared" si="22"/>
        <v>0</v>
      </c>
      <c r="P150" s="140">
        <f t="shared" si="23"/>
        <v>1.1400000000000001</v>
      </c>
      <c r="Q150" s="156">
        <f t="shared" si="24"/>
        <v>1.7172884918549642</v>
      </c>
      <c r="R150" s="125">
        <v>4.51918024172359</v>
      </c>
      <c r="S150" s="73">
        <f t="shared" si="25"/>
        <v>5.1518654755648932</v>
      </c>
      <c r="T150" t="s">
        <v>800</v>
      </c>
    </row>
    <row r="151" spans="1:20">
      <c r="A151" s="618" t="s">
        <v>754</v>
      </c>
      <c r="B151" s="618" t="s">
        <v>790</v>
      </c>
      <c r="C151" s="618" t="s">
        <v>791</v>
      </c>
      <c r="D151" s="631" t="s">
        <v>497</v>
      </c>
      <c r="E151" s="631" t="s">
        <v>792</v>
      </c>
      <c r="F151" s="627"/>
      <c r="G151" s="627"/>
      <c r="H151" s="627">
        <f>0.782*0.782*3.1416/4</f>
        <v>0.48029094960000007</v>
      </c>
      <c r="I151" s="625">
        <f>6*0.0254*7850*5*0.0254/16</f>
        <v>9.4959487500000002</v>
      </c>
      <c r="J151" s="627">
        <v>1</v>
      </c>
      <c r="K151" s="140">
        <f t="shared" si="18"/>
        <v>4.5608182424904333</v>
      </c>
      <c r="L151" s="140">
        <f t="shared" si="19"/>
        <v>4.5608182424904333</v>
      </c>
      <c r="M151" s="140">
        <f t="shared" si="20"/>
        <v>0</v>
      </c>
      <c r="N151" s="140">
        <f t="shared" si="21"/>
        <v>0</v>
      </c>
      <c r="O151" s="140">
        <f t="shared" si="22"/>
        <v>0</v>
      </c>
      <c r="P151" s="140">
        <f t="shared" si="23"/>
        <v>0</v>
      </c>
      <c r="Q151" s="156">
        <f t="shared" si="24"/>
        <v>19.376914533147101</v>
      </c>
      <c r="R151" s="125">
        <v>2.0405453992311302</v>
      </c>
      <c r="S151" s="73">
        <f t="shared" si="25"/>
        <v>9.3065566814432632</v>
      </c>
      <c r="T151" t="s">
        <v>793</v>
      </c>
    </row>
    <row r="152" spans="1:20">
      <c r="A152" s="618" t="s">
        <v>754</v>
      </c>
      <c r="B152" s="618" t="s">
        <v>790</v>
      </c>
      <c r="C152" s="618" t="s">
        <v>791</v>
      </c>
      <c r="D152" s="631" t="s">
        <v>497</v>
      </c>
      <c r="E152" s="631" t="s">
        <v>792</v>
      </c>
      <c r="F152" s="627">
        <v>0.09</v>
      </c>
      <c r="G152" s="627">
        <v>0.1</v>
      </c>
      <c r="H152" s="627"/>
      <c r="I152" s="625">
        <f>6*0.0254*7850*5*0.0254/16</f>
        <v>9.4959487500000002</v>
      </c>
      <c r="J152" s="627">
        <v>3</v>
      </c>
      <c r="K152" s="140">
        <f t="shared" si="18"/>
        <v>0.25639061624999998</v>
      </c>
      <c r="L152" s="140">
        <f t="shared" si="19"/>
        <v>0.25639061624999998</v>
      </c>
      <c r="M152" s="140">
        <f t="shared" si="20"/>
        <v>0</v>
      </c>
      <c r="N152" s="140">
        <f t="shared" si="21"/>
        <v>0</v>
      </c>
      <c r="O152" s="140">
        <f t="shared" si="22"/>
        <v>0</v>
      </c>
      <c r="P152" s="140">
        <f t="shared" si="23"/>
        <v>0</v>
      </c>
      <c r="Q152" s="156">
        <f t="shared" si="24"/>
        <v>19.376914533147101</v>
      </c>
      <c r="R152" s="125">
        <v>2.0405453992311302</v>
      </c>
      <c r="S152" s="73">
        <f t="shared" si="25"/>
        <v>0.52317669239497167</v>
      </c>
      <c r="T152" t="s">
        <v>793</v>
      </c>
    </row>
    <row r="153" spans="1:20">
      <c r="A153" s="618" t="s">
        <v>754</v>
      </c>
      <c r="B153" s="618" t="s">
        <v>790</v>
      </c>
      <c r="C153" s="618" t="s">
        <v>814</v>
      </c>
      <c r="D153" s="631" t="s">
        <v>497</v>
      </c>
      <c r="E153" s="631" t="s">
        <v>792</v>
      </c>
      <c r="F153" s="628">
        <v>0.15</v>
      </c>
      <c r="G153" s="628">
        <v>0.15</v>
      </c>
      <c r="H153" s="628"/>
      <c r="I153" s="626">
        <f>6*0.0254*7850*5*0.0254/16</f>
        <v>9.4959487500000002</v>
      </c>
      <c r="J153" s="628">
        <v>4</v>
      </c>
      <c r="K153" s="140">
        <f t="shared" si="18"/>
        <v>0.85463538750000001</v>
      </c>
      <c r="L153" s="140">
        <f t="shared" si="19"/>
        <v>0.85463538750000001</v>
      </c>
      <c r="M153" s="140">
        <f t="shared" si="20"/>
        <v>0</v>
      </c>
      <c r="N153" s="140">
        <f t="shared" si="21"/>
        <v>0</v>
      </c>
      <c r="O153" s="140">
        <f t="shared" si="22"/>
        <v>0</v>
      </c>
      <c r="P153" s="140">
        <f t="shared" si="23"/>
        <v>0</v>
      </c>
      <c r="Q153" s="156">
        <f t="shared" si="24"/>
        <v>19.376914533147101</v>
      </c>
      <c r="R153" s="125">
        <v>2.0405453992311302</v>
      </c>
      <c r="S153" s="73">
        <f t="shared" si="25"/>
        <v>1.7439223079832391</v>
      </c>
      <c r="T153" t="s">
        <v>793</v>
      </c>
    </row>
    <row r="154" spans="1:20">
      <c r="A154" s="618" t="s">
        <v>754</v>
      </c>
      <c r="B154" s="618" t="s">
        <v>794</v>
      </c>
      <c r="C154" s="618" t="s">
        <v>845</v>
      </c>
      <c r="D154" s="631" t="s">
        <v>515</v>
      </c>
      <c r="E154" s="633" t="s">
        <v>792</v>
      </c>
      <c r="F154" s="628"/>
      <c r="G154" s="628">
        <v>2.7749999999999999</v>
      </c>
      <c r="H154" s="628"/>
      <c r="I154" s="626">
        <f>12*0.0254*7850*0.25*0.0254</f>
        <v>15.193517999999999</v>
      </c>
      <c r="J154" s="628">
        <v>2</v>
      </c>
      <c r="K154" s="140">
        <f t="shared" si="18"/>
        <v>84.324024899999998</v>
      </c>
      <c r="L154" s="140">
        <f t="shared" si="19"/>
        <v>0</v>
      </c>
      <c r="M154" s="140">
        <f t="shared" si="20"/>
        <v>0</v>
      </c>
      <c r="N154" s="140">
        <f t="shared" si="21"/>
        <v>0</v>
      </c>
      <c r="O154" s="140">
        <f t="shared" si="22"/>
        <v>84.324024899999998</v>
      </c>
      <c r="P154" s="140">
        <f t="shared" si="23"/>
        <v>0</v>
      </c>
      <c r="Q154" s="156">
        <f t="shared" si="24"/>
        <v>33.253285585916984</v>
      </c>
      <c r="R154" s="157">
        <v>2.1886495007882298</v>
      </c>
      <c r="S154" s="73">
        <f t="shared" si="25"/>
        <v>184.55573500183925</v>
      </c>
      <c r="T154" t="s">
        <v>793</v>
      </c>
    </row>
    <row r="155" spans="1:20">
      <c r="A155" s="618" t="s">
        <v>754</v>
      </c>
      <c r="B155" s="618" t="s">
        <v>794</v>
      </c>
      <c r="C155" s="618" t="s">
        <v>842</v>
      </c>
      <c r="D155" s="631" t="s">
        <v>515</v>
      </c>
      <c r="E155" s="633" t="s">
        <v>792</v>
      </c>
      <c r="F155" s="628"/>
      <c r="G155" s="628">
        <v>1.254</v>
      </c>
      <c r="H155" s="628"/>
      <c r="I155" s="626">
        <f>8*0.0254*7850*3*0.0254/8</f>
        <v>15.193517999999999</v>
      </c>
      <c r="J155" s="628">
        <v>4</v>
      </c>
      <c r="K155" s="140">
        <f t="shared" si="18"/>
        <v>76.210686287999991</v>
      </c>
      <c r="L155" s="140">
        <f t="shared" si="19"/>
        <v>0</v>
      </c>
      <c r="M155" s="140">
        <f t="shared" si="20"/>
        <v>0</v>
      </c>
      <c r="N155" s="140">
        <f t="shared" si="21"/>
        <v>0</v>
      </c>
      <c r="O155" s="140">
        <f t="shared" si="22"/>
        <v>76.210686287999991</v>
      </c>
      <c r="P155" s="140">
        <f t="shared" si="23"/>
        <v>0</v>
      </c>
      <c r="Q155" s="156">
        <f t="shared" si="24"/>
        <v>33.253285585916984</v>
      </c>
      <c r="R155" s="157">
        <v>2.1886495007882298</v>
      </c>
      <c r="S155" s="73">
        <f t="shared" si="25"/>
        <v>166.79848049895958</v>
      </c>
      <c r="T155" t="s">
        <v>793</v>
      </c>
    </row>
    <row r="156" spans="1:20">
      <c r="A156" s="618" t="s">
        <v>754</v>
      </c>
      <c r="B156" s="618" t="s">
        <v>818</v>
      </c>
      <c r="C156" s="618" t="s">
        <v>846</v>
      </c>
      <c r="D156" s="631" t="s">
        <v>513</v>
      </c>
      <c r="E156" s="631" t="s">
        <v>799</v>
      </c>
      <c r="F156" s="628"/>
      <c r="G156" s="628">
        <v>1</v>
      </c>
      <c r="H156" s="628"/>
      <c r="I156" s="626">
        <v>2.72</v>
      </c>
      <c r="J156" s="628">
        <v>2</v>
      </c>
      <c r="K156" s="140">
        <f t="shared" si="18"/>
        <v>5.44</v>
      </c>
      <c r="L156" s="140">
        <f t="shared" si="19"/>
        <v>0</v>
      </c>
      <c r="M156" s="140">
        <f t="shared" si="20"/>
        <v>0</v>
      </c>
      <c r="N156" s="140">
        <f t="shared" si="21"/>
        <v>5.44</v>
      </c>
      <c r="O156" s="140">
        <f t="shared" si="22"/>
        <v>0</v>
      </c>
      <c r="P156" s="140">
        <f t="shared" si="23"/>
        <v>0</v>
      </c>
      <c r="Q156" s="156">
        <f t="shared" si="24"/>
        <v>15.150814503415662</v>
      </c>
      <c r="R156" s="125">
        <v>5.5701523909616402</v>
      </c>
      <c r="S156" s="73">
        <f t="shared" si="25"/>
        <v>30.301629006831323</v>
      </c>
      <c r="T156" t="s">
        <v>793</v>
      </c>
    </row>
    <row r="157" spans="1:20">
      <c r="A157" s="618" t="s">
        <v>754</v>
      </c>
      <c r="B157" s="618" t="s">
        <v>815</v>
      </c>
      <c r="C157" s="618" t="s">
        <v>847</v>
      </c>
      <c r="D157" s="631" t="s">
        <v>515</v>
      </c>
      <c r="E157" s="631" t="s">
        <v>817</v>
      </c>
      <c r="F157" s="628"/>
      <c r="G157" s="628">
        <v>0.49299999999999999</v>
      </c>
      <c r="H157" s="628"/>
      <c r="I157" s="626">
        <v>5.44</v>
      </c>
      <c r="J157" s="628">
        <v>2</v>
      </c>
      <c r="K157" s="140">
        <f t="shared" si="18"/>
        <v>5.3638400000000006</v>
      </c>
      <c r="L157" s="140">
        <f t="shared" si="19"/>
        <v>0</v>
      </c>
      <c r="M157" s="140">
        <f t="shared" si="20"/>
        <v>5.3638400000000006</v>
      </c>
      <c r="N157" s="140">
        <f t="shared" si="21"/>
        <v>0</v>
      </c>
      <c r="O157" s="140">
        <f t="shared" si="22"/>
        <v>0</v>
      </c>
      <c r="P157" s="140">
        <f t="shared" si="23"/>
        <v>0</v>
      </c>
      <c r="Q157" s="156">
        <f t="shared" si="24"/>
        <v>21.162543352601134</v>
      </c>
      <c r="R157" s="125">
        <v>3.8901734104046199</v>
      </c>
      <c r="S157" s="73">
        <f t="shared" si="25"/>
        <v>20.866267745664718</v>
      </c>
      <c r="T157" t="s">
        <v>793</v>
      </c>
    </row>
    <row r="158" spans="1:20">
      <c r="A158" s="618" t="s">
        <v>754</v>
      </c>
      <c r="B158" s="618" t="s">
        <v>790</v>
      </c>
      <c r="C158" s="618" t="s">
        <v>791</v>
      </c>
      <c r="D158" s="631" t="s">
        <v>497</v>
      </c>
      <c r="E158" s="631" t="s">
        <v>792</v>
      </c>
      <c r="F158" s="627">
        <v>0.4</v>
      </c>
      <c r="G158" s="627">
        <v>0.47399999999999998</v>
      </c>
      <c r="H158" s="627"/>
      <c r="I158" s="625">
        <f>8*0.0254*7850*3*0.0254/8</f>
        <v>15.193517999999999</v>
      </c>
      <c r="J158" s="627">
        <v>1</v>
      </c>
      <c r="K158" s="140">
        <f t="shared" si="18"/>
        <v>2.8806910127999998</v>
      </c>
      <c r="L158" s="140">
        <f t="shared" si="19"/>
        <v>2.8806910127999998</v>
      </c>
      <c r="M158" s="140">
        <f t="shared" si="20"/>
        <v>0</v>
      </c>
      <c r="N158" s="140">
        <f t="shared" si="21"/>
        <v>0</v>
      </c>
      <c r="O158" s="140">
        <f t="shared" si="22"/>
        <v>0</v>
      </c>
      <c r="P158" s="140">
        <f t="shared" si="23"/>
        <v>0</v>
      </c>
      <c r="Q158" s="156">
        <f t="shared" si="24"/>
        <v>31.003063253035361</v>
      </c>
      <c r="R158" s="125">
        <v>2.0405453992311302</v>
      </c>
      <c r="S158" s="73">
        <f t="shared" si="25"/>
        <v>5.8781807927755043</v>
      </c>
      <c r="T158" t="s">
        <v>793</v>
      </c>
    </row>
    <row r="159" spans="1:20">
      <c r="A159" s="618" t="s">
        <v>754</v>
      </c>
      <c r="B159" s="618" t="s">
        <v>790</v>
      </c>
      <c r="C159" s="618" t="s">
        <v>791</v>
      </c>
      <c r="D159" s="631" t="s">
        <v>497</v>
      </c>
      <c r="E159" s="631" t="s">
        <v>792</v>
      </c>
      <c r="F159" s="627">
        <v>0.66600000000000004</v>
      </c>
      <c r="G159" s="627">
        <v>0.80200000000000005</v>
      </c>
      <c r="H159" s="627"/>
      <c r="I159" s="625">
        <f>8*0.0254*7850*3*0.0254/8</f>
        <v>15.193517999999999</v>
      </c>
      <c r="J159" s="627">
        <v>2</v>
      </c>
      <c r="K159" s="140">
        <f t="shared" si="18"/>
        <v>16.230688312752001</v>
      </c>
      <c r="L159" s="140">
        <f t="shared" si="19"/>
        <v>16.230688312752001</v>
      </c>
      <c r="M159" s="140">
        <f t="shared" si="20"/>
        <v>0</v>
      </c>
      <c r="N159" s="140">
        <f t="shared" si="21"/>
        <v>0</v>
      </c>
      <c r="O159" s="140">
        <f t="shared" si="22"/>
        <v>0</v>
      </c>
      <c r="P159" s="140">
        <f t="shared" si="23"/>
        <v>0</v>
      </c>
      <c r="Q159" s="156">
        <f t="shared" si="24"/>
        <v>31.003063253035361</v>
      </c>
      <c r="R159" s="125">
        <v>2.0405453992311302</v>
      </c>
      <c r="S159" s="73">
        <f t="shared" si="25"/>
        <v>33.119456362940568</v>
      </c>
      <c r="T159" t="s">
        <v>793</v>
      </c>
    </row>
    <row r="160" spans="1:20">
      <c r="A160" s="618" t="s">
        <v>754</v>
      </c>
      <c r="B160" s="618" t="s">
        <v>818</v>
      </c>
      <c r="C160" s="618" t="s">
        <v>848</v>
      </c>
      <c r="D160" s="631" t="s">
        <v>513</v>
      </c>
      <c r="E160" s="631" t="s">
        <v>799</v>
      </c>
      <c r="F160" s="628"/>
      <c r="G160" s="628">
        <v>1</v>
      </c>
      <c r="H160" s="628"/>
      <c r="I160" s="626">
        <v>2.72</v>
      </c>
      <c r="J160" s="628">
        <v>3</v>
      </c>
      <c r="K160" s="140">
        <f t="shared" si="18"/>
        <v>8.16</v>
      </c>
      <c r="L160" s="140">
        <f t="shared" si="19"/>
        <v>0</v>
      </c>
      <c r="M160" s="140">
        <f t="shared" si="20"/>
        <v>0</v>
      </c>
      <c r="N160" s="140">
        <f t="shared" si="21"/>
        <v>8.16</v>
      </c>
      <c r="O160" s="140">
        <f t="shared" si="22"/>
        <v>0</v>
      </c>
      <c r="P160" s="140">
        <f t="shared" si="23"/>
        <v>0</v>
      </c>
      <c r="Q160" s="156">
        <f t="shared" si="24"/>
        <v>15.150814503415662</v>
      </c>
      <c r="R160" s="125">
        <v>5.5701523909616402</v>
      </c>
      <c r="S160" s="73">
        <f t="shared" si="25"/>
        <v>45.452443510246987</v>
      </c>
      <c r="T160" t="s">
        <v>793</v>
      </c>
    </row>
    <row r="161" spans="1:20">
      <c r="A161" s="618" t="s">
        <v>754</v>
      </c>
      <c r="B161" s="618" t="s">
        <v>815</v>
      </c>
      <c r="C161" s="618" t="s">
        <v>849</v>
      </c>
      <c r="D161" s="631" t="s">
        <v>515</v>
      </c>
      <c r="E161" s="631" t="s">
        <v>817</v>
      </c>
      <c r="F161" s="628"/>
      <c r="G161" s="628">
        <v>5.0759999999999996</v>
      </c>
      <c r="H161" s="628"/>
      <c r="I161" s="626">
        <v>42.55</v>
      </c>
      <c r="J161" s="628">
        <v>3</v>
      </c>
      <c r="K161" s="140">
        <f t="shared" si="18"/>
        <v>647.95139999999992</v>
      </c>
      <c r="L161" s="140">
        <f t="shared" si="19"/>
        <v>0</v>
      </c>
      <c r="M161" s="140">
        <f t="shared" si="20"/>
        <v>647.95139999999992</v>
      </c>
      <c r="N161" s="140">
        <f t="shared" si="21"/>
        <v>0</v>
      </c>
      <c r="O161" s="140">
        <f t="shared" si="22"/>
        <v>0</v>
      </c>
      <c r="P161" s="140">
        <f t="shared" si="23"/>
        <v>0</v>
      </c>
      <c r="Q161" s="156">
        <f t="shared" si="24"/>
        <v>127.14691276931151</v>
      </c>
      <c r="R161" s="125">
        <v>2.98817656332107</v>
      </c>
      <c r="S161" s="73">
        <f t="shared" si="25"/>
        <v>1936.1931876510757</v>
      </c>
      <c r="T161" t="s">
        <v>793</v>
      </c>
    </row>
    <row r="162" spans="1:20">
      <c r="A162" s="618" t="s">
        <v>754</v>
      </c>
      <c r="B162" s="618" t="s">
        <v>815</v>
      </c>
      <c r="C162" s="618" t="s">
        <v>849</v>
      </c>
      <c r="D162" s="631" t="s">
        <v>515</v>
      </c>
      <c r="E162" s="631" t="s">
        <v>817</v>
      </c>
      <c r="F162" s="628"/>
      <c r="G162" s="628">
        <v>5.8</v>
      </c>
      <c r="H162" s="628"/>
      <c r="I162" s="626">
        <v>42.55</v>
      </c>
      <c r="J162" s="628">
        <v>6</v>
      </c>
      <c r="K162" s="140">
        <f t="shared" si="18"/>
        <v>1480.7399999999998</v>
      </c>
      <c r="L162" s="140">
        <f t="shared" si="19"/>
        <v>0</v>
      </c>
      <c r="M162" s="140">
        <f t="shared" si="20"/>
        <v>1480.7399999999998</v>
      </c>
      <c r="N162" s="140">
        <f t="shared" si="21"/>
        <v>0</v>
      </c>
      <c r="O162" s="140">
        <f t="shared" si="22"/>
        <v>0</v>
      </c>
      <c r="P162" s="140">
        <f t="shared" si="23"/>
        <v>0</v>
      </c>
      <c r="Q162" s="156">
        <f t="shared" si="24"/>
        <v>127.14691276931151</v>
      </c>
      <c r="R162" s="125">
        <v>2.98817656332107</v>
      </c>
      <c r="S162" s="73">
        <f t="shared" si="25"/>
        <v>4424.7125643720401</v>
      </c>
      <c r="T162" t="s">
        <v>793</v>
      </c>
    </row>
    <row r="163" spans="1:20">
      <c r="A163" s="618" t="s">
        <v>754</v>
      </c>
      <c r="B163" s="618" t="s">
        <v>790</v>
      </c>
      <c r="C163" s="618" t="s">
        <v>814</v>
      </c>
      <c r="D163" s="631" t="s">
        <v>497</v>
      </c>
      <c r="E163" s="631" t="s">
        <v>792</v>
      </c>
      <c r="F163" s="628">
        <v>7.5999999999999998E-2</v>
      </c>
      <c r="G163" s="628">
        <v>0.14000000000000001</v>
      </c>
      <c r="H163" s="628"/>
      <c r="I163" s="626">
        <f>8*0.0254*7850*3*0.0254/8</f>
        <v>15.193517999999999</v>
      </c>
      <c r="J163" s="628">
        <v>26</v>
      </c>
      <c r="K163" s="140">
        <f t="shared" si="18"/>
        <v>4.2031348195199998</v>
      </c>
      <c r="L163" s="140">
        <f t="shared" si="19"/>
        <v>4.2031348195199998</v>
      </c>
      <c r="M163" s="140">
        <f t="shared" si="20"/>
        <v>0</v>
      </c>
      <c r="N163" s="140">
        <f t="shared" si="21"/>
        <v>0</v>
      </c>
      <c r="O163" s="140">
        <f t="shared" si="22"/>
        <v>0</v>
      </c>
      <c r="P163" s="140">
        <f t="shared" si="23"/>
        <v>0</v>
      </c>
      <c r="Q163" s="156">
        <f t="shared" si="24"/>
        <v>31.003063253035361</v>
      </c>
      <c r="R163" s="125">
        <v>2.0405453992311302</v>
      </c>
      <c r="S163" s="73">
        <f t="shared" si="25"/>
        <v>8.5766874183197022</v>
      </c>
      <c r="T163" t="s">
        <v>793</v>
      </c>
    </row>
    <row r="164" spans="1:20">
      <c r="A164" s="618" t="s">
        <v>754</v>
      </c>
      <c r="B164" s="618" t="s">
        <v>790</v>
      </c>
      <c r="C164" s="618" t="s">
        <v>791</v>
      </c>
      <c r="D164" s="631" t="s">
        <v>497</v>
      </c>
      <c r="E164" s="631" t="s">
        <v>792</v>
      </c>
      <c r="F164" s="627">
        <v>0.45</v>
      </c>
      <c r="G164" s="627">
        <v>0.496</v>
      </c>
      <c r="H164" s="627"/>
      <c r="I164" s="625">
        <f>8*0.0254*7850*3*0.0254/8</f>
        <v>15.193517999999999</v>
      </c>
      <c r="J164" s="627">
        <v>2</v>
      </c>
      <c r="K164" s="140">
        <f t="shared" si="18"/>
        <v>6.7823864352000003</v>
      </c>
      <c r="L164" s="140">
        <f t="shared" si="19"/>
        <v>6.7823864352000003</v>
      </c>
      <c r="M164" s="140">
        <f t="shared" si="20"/>
        <v>0</v>
      </c>
      <c r="N164" s="140">
        <f t="shared" si="21"/>
        <v>0</v>
      </c>
      <c r="O164" s="140">
        <f t="shared" si="22"/>
        <v>0</v>
      </c>
      <c r="P164" s="140">
        <f t="shared" si="23"/>
        <v>0</v>
      </c>
      <c r="Q164" s="156">
        <f t="shared" si="24"/>
        <v>31.003063253035361</v>
      </c>
      <c r="R164" s="125">
        <v>2.0405453992311302</v>
      </c>
      <c r="S164" s="73">
        <f t="shared" si="25"/>
        <v>13.839767436154986</v>
      </c>
      <c r="T164" t="s">
        <v>793</v>
      </c>
    </row>
    <row r="165" spans="1:20">
      <c r="A165" s="618" t="s">
        <v>754</v>
      </c>
      <c r="B165" s="618" t="s">
        <v>790</v>
      </c>
      <c r="C165" s="618" t="s">
        <v>791</v>
      </c>
      <c r="D165" s="631" t="s">
        <v>497</v>
      </c>
      <c r="E165" s="631" t="s">
        <v>792</v>
      </c>
      <c r="F165" s="627"/>
      <c r="G165" s="627"/>
      <c r="H165" s="627">
        <f>0.711*0.711*3.1416/4</f>
        <v>0.39703619340000001</v>
      </c>
      <c r="I165" s="625">
        <f>8*0.0254*7850*3*0.0254/8</f>
        <v>15.193517999999999</v>
      </c>
      <c r="J165" s="627">
        <v>1</v>
      </c>
      <c r="K165" s="140">
        <f t="shared" si="18"/>
        <v>6.032376551074381</v>
      </c>
      <c r="L165" s="140">
        <f t="shared" si="19"/>
        <v>6.032376551074381</v>
      </c>
      <c r="M165" s="140">
        <f t="shared" si="20"/>
        <v>0</v>
      </c>
      <c r="N165" s="140">
        <f t="shared" si="21"/>
        <v>0</v>
      </c>
      <c r="O165" s="140">
        <f t="shared" si="22"/>
        <v>0</v>
      </c>
      <c r="P165" s="140">
        <f t="shared" si="23"/>
        <v>0</v>
      </c>
      <c r="Q165" s="156">
        <f t="shared" si="24"/>
        <v>31.003063253035361</v>
      </c>
      <c r="R165" s="125">
        <v>2.0405453992311302</v>
      </c>
      <c r="S165" s="73">
        <f t="shared" si="25"/>
        <v>12.309338217724582</v>
      </c>
      <c r="T165" t="s">
        <v>793</v>
      </c>
    </row>
    <row r="166" spans="1:20">
      <c r="A166" s="618" t="s">
        <v>754</v>
      </c>
      <c r="B166" s="618" t="s">
        <v>815</v>
      </c>
      <c r="C166" s="618" t="s">
        <v>850</v>
      </c>
      <c r="D166" s="631" t="s">
        <v>515</v>
      </c>
      <c r="E166" s="631" t="s">
        <v>817</v>
      </c>
      <c r="F166" s="628"/>
      <c r="G166" s="628">
        <v>4.5979999999999999</v>
      </c>
      <c r="H166" s="628"/>
      <c r="I166" s="626">
        <v>117.02</v>
      </c>
      <c r="J166" s="628">
        <v>1</v>
      </c>
      <c r="K166" s="140">
        <f t="shared" si="18"/>
        <v>538.05795999999998</v>
      </c>
      <c r="L166" s="140">
        <f t="shared" si="19"/>
        <v>0</v>
      </c>
      <c r="M166" s="140">
        <f t="shared" si="20"/>
        <v>538.05795999999998</v>
      </c>
      <c r="N166" s="140">
        <f t="shared" si="21"/>
        <v>0</v>
      </c>
      <c r="O166" s="140">
        <f t="shared" si="22"/>
        <v>0</v>
      </c>
      <c r="P166" s="140">
        <f t="shared" si="23"/>
        <v>0</v>
      </c>
      <c r="Q166" s="156">
        <f t="shared" si="24"/>
        <v>349.67642143983159</v>
      </c>
      <c r="R166" s="125">
        <v>2.98817656332107</v>
      </c>
      <c r="S166" s="73">
        <f t="shared" si="25"/>
        <v>1607.8121857803458</v>
      </c>
      <c r="T166" t="s">
        <v>793</v>
      </c>
    </row>
    <row r="167" spans="1:20">
      <c r="A167" s="618" t="s">
        <v>754</v>
      </c>
      <c r="B167" s="618" t="s">
        <v>815</v>
      </c>
      <c r="C167" s="618" t="s">
        <v>850</v>
      </c>
      <c r="D167" s="631" t="s">
        <v>515</v>
      </c>
      <c r="E167" s="631" t="s">
        <v>817</v>
      </c>
      <c r="F167" s="628"/>
      <c r="G167" s="628">
        <v>5.875</v>
      </c>
      <c r="H167" s="628"/>
      <c r="I167" s="626">
        <v>117.02</v>
      </c>
      <c r="J167" s="628">
        <v>1</v>
      </c>
      <c r="K167" s="140">
        <f t="shared" si="18"/>
        <v>687.49249999999995</v>
      </c>
      <c r="L167" s="140">
        <f t="shared" si="19"/>
        <v>0</v>
      </c>
      <c r="M167" s="140">
        <f t="shared" si="20"/>
        <v>687.49249999999995</v>
      </c>
      <c r="N167" s="140">
        <f t="shared" si="21"/>
        <v>0</v>
      </c>
      <c r="O167" s="140">
        <f t="shared" si="22"/>
        <v>0</v>
      </c>
      <c r="P167" s="140">
        <f t="shared" si="23"/>
        <v>0</v>
      </c>
      <c r="Q167" s="156">
        <f t="shared" si="24"/>
        <v>349.67642143983159</v>
      </c>
      <c r="R167" s="125">
        <v>2.98817656332107</v>
      </c>
      <c r="S167" s="73">
        <f t="shared" si="25"/>
        <v>2054.3489759590107</v>
      </c>
      <c r="T167" t="s">
        <v>793</v>
      </c>
    </row>
    <row r="168" spans="1:20">
      <c r="A168" s="618" t="s">
        <v>754</v>
      </c>
      <c r="B168" s="618" t="s">
        <v>815</v>
      </c>
      <c r="C168" s="618" t="s">
        <v>850</v>
      </c>
      <c r="D168" s="631" t="s">
        <v>515</v>
      </c>
      <c r="E168" s="631" t="s">
        <v>817</v>
      </c>
      <c r="F168" s="628"/>
      <c r="G168" s="628">
        <v>5.7750000000000004</v>
      </c>
      <c r="H168" s="628"/>
      <c r="I168" s="626">
        <v>117.02</v>
      </c>
      <c r="J168" s="628">
        <v>1</v>
      </c>
      <c r="K168" s="140">
        <f t="shared" si="18"/>
        <v>675.79050000000007</v>
      </c>
      <c r="L168" s="140">
        <f t="shared" si="19"/>
        <v>0</v>
      </c>
      <c r="M168" s="140">
        <f t="shared" si="20"/>
        <v>675.79050000000007</v>
      </c>
      <c r="N168" s="140">
        <f t="shared" si="21"/>
        <v>0</v>
      </c>
      <c r="O168" s="140">
        <f t="shared" si="22"/>
        <v>0</v>
      </c>
      <c r="P168" s="140">
        <f t="shared" si="23"/>
        <v>0</v>
      </c>
      <c r="Q168" s="156">
        <f t="shared" si="24"/>
        <v>349.67642143983159</v>
      </c>
      <c r="R168" s="125">
        <v>2.98817656332107</v>
      </c>
      <c r="S168" s="73">
        <f t="shared" si="25"/>
        <v>2019.3813338150278</v>
      </c>
      <c r="T168" t="s">
        <v>793</v>
      </c>
    </row>
    <row r="169" spans="1:20">
      <c r="A169" s="618" t="s">
        <v>735</v>
      </c>
      <c r="B169" s="618" t="s">
        <v>790</v>
      </c>
      <c r="C169" s="618" t="s">
        <v>814</v>
      </c>
      <c r="D169" s="631" t="s">
        <v>497</v>
      </c>
      <c r="E169" s="631" t="s">
        <v>792</v>
      </c>
      <c r="F169" s="628">
        <v>2.4380000000000002</v>
      </c>
      <c r="G169" s="628">
        <v>6.5549999999999997</v>
      </c>
      <c r="H169" s="628"/>
      <c r="I169" s="626">
        <f t="shared" ref="I169:I200" si="27">8*0.0254*7850*3*0.0254/8</f>
        <v>15.193517999999999</v>
      </c>
      <c r="J169" s="628">
        <v>2</v>
      </c>
      <c r="K169" s="140">
        <f t="shared" si="18"/>
        <v>485.61795714924</v>
      </c>
      <c r="L169" s="140">
        <f t="shared" si="19"/>
        <v>485.61795714924</v>
      </c>
      <c r="M169" s="140">
        <f t="shared" si="20"/>
        <v>0</v>
      </c>
      <c r="N169" s="140">
        <f t="shared" si="21"/>
        <v>0</v>
      </c>
      <c r="O169" s="140">
        <f t="shared" si="22"/>
        <v>0</v>
      </c>
      <c r="P169" s="140">
        <f t="shared" si="23"/>
        <v>0</v>
      </c>
      <c r="Q169" s="156">
        <f t="shared" si="24"/>
        <v>31.003063253035361</v>
      </c>
      <c r="R169" s="125">
        <v>2.0405453992311302</v>
      </c>
      <c r="S169" s="73">
        <f t="shared" si="25"/>
        <v>990.92548824490177</v>
      </c>
      <c r="T169" t="s">
        <v>793</v>
      </c>
    </row>
    <row r="170" spans="1:20">
      <c r="A170" s="618" t="s">
        <v>735</v>
      </c>
      <c r="B170" s="618" t="s">
        <v>790</v>
      </c>
      <c r="C170" s="618" t="s">
        <v>814</v>
      </c>
      <c r="D170" s="631" t="s">
        <v>497</v>
      </c>
      <c r="E170" s="631" t="s">
        <v>792</v>
      </c>
      <c r="F170" s="628">
        <v>2.4380000000000002</v>
      </c>
      <c r="G170" s="628">
        <v>5.8070000000000004</v>
      </c>
      <c r="H170" s="628"/>
      <c r="I170" s="626">
        <f t="shared" si="27"/>
        <v>15.193517999999999</v>
      </c>
      <c r="J170" s="628">
        <v>4</v>
      </c>
      <c r="K170" s="140">
        <f t="shared" si="18"/>
        <v>860.40685802155201</v>
      </c>
      <c r="L170" s="140">
        <f t="shared" si="19"/>
        <v>860.40685802155201</v>
      </c>
      <c r="M170" s="140">
        <f t="shared" si="20"/>
        <v>0</v>
      </c>
      <c r="N170" s="140">
        <f t="shared" si="21"/>
        <v>0</v>
      </c>
      <c r="O170" s="140">
        <f t="shared" si="22"/>
        <v>0</v>
      </c>
      <c r="P170" s="140">
        <f t="shared" si="23"/>
        <v>0</v>
      </c>
      <c r="Q170" s="156">
        <f t="shared" si="24"/>
        <v>31.003063253035361</v>
      </c>
      <c r="R170" s="125">
        <v>2.0405453992311302</v>
      </c>
      <c r="S170" s="73">
        <f t="shared" si="25"/>
        <v>1755.6992556027901</v>
      </c>
      <c r="T170" t="s">
        <v>793</v>
      </c>
    </row>
    <row r="171" spans="1:20">
      <c r="A171" s="618" t="s">
        <v>735</v>
      </c>
      <c r="B171" s="618" t="s">
        <v>790</v>
      </c>
      <c r="C171" s="618" t="s">
        <v>814</v>
      </c>
      <c r="D171" s="631" t="s">
        <v>497</v>
      </c>
      <c r="E171" s="631" t="s">
        <v>792</v>
      </c>
      <c r="F171" s="628">
        <v>2.4380000000000002</v>
      </c>
      <c r="G171" s="628">
        <v>5.7039999999999997</v>
      </c>
      <c r="H171" s="628"/>
      <c r="I171" s="626">
        <f t="shared" si="27"/>
        <v>15.193517999999999</v>
      </c>
      <c r="J171" s="628">
        <v>4</v>
      </c>
      <c r="K171" s="140">
        <f t="shared" si="18"/>
        <v>845.14563770534392</v>
      </c>
      <c r="L171" s="140">
        <f t="shared" si="19"/>
        <v>845.14563770534392</v>
      </c>
      <c r="M171" s="140">
        <f t="shared" si="20"/>
        <v>0</v>
      </c>
      <c r="N171" s="140">
        <f t="shared" si="21"/>
        <v>0</v>
      </c>
      <c r="O171" s="140">
        <f t="shared" si="22"/>
        <v>0</v>
      </c>
      <c r="P171" s="140">
        <f t="shared" si="23"/>
        <v>0</v>
      </c>
      <c r="Q171" s="156">
        <f t="shared" si="24"/>
        <v>31.003063253035361</v>
      </c>
      <c r="R171" s="125">
        <v>2.0405453992311302</v>
      </c>
      <c r="S171" s="73">
        <f t="shared" si="25"/>
        <v>1724.558042699899</v>
      </c>
      <c r="T171" t="s">
        <v>793</v>
      </c>
    </row>
    <row r="172" spans="1:20">
      <c r="A172" s="618" t="s">
        <v>735</v>
      </c>
      <c r="B172" s="618" t="s">
        <v>790</v>
      </c>
      <c r="C172" s="618" t="s">
        <v>814</v>
      </c>
      <c r="D172" s="631" t="s">
        <v>497</v>
      </c>
      <c r="E172" s="631" t="s">
        <v>792</v>
      </c>
      <c r="F172" s="628">
        <v>2.4380000000000002</v>
      </c>
      <c r="G172" s="628">
        <v>5.39</v>
      </c>
      <c r="H172" s="628"/>
      <c r="I172" s="626">
        <f t="shared" si="27"/>
        <v>15.193517999999999</v>
      </c>
      <c r="J172" s="628">
        <v>4</v>
      </c>
      <c r="K172" s="140">
        <f t="shared" si="18"/>
        <v>798.62114081903997</v>
      </c>
      <c r="L172" s="140">
        <f t="shared" si="19"/>
        <v>798.62114081903997</v>
      </c>
      <c r="M172" s="140">
        <f t="shared" si="20"/>
        <v>0</v>
      </c>
      <c r="N172" s="140">
        <f t="shared" si="21"/>
        <v>0</v>
      </c>
      <c r="O172" s="140">
        <f t="shared" si="22"/>
        <v>0</v>
      </c>
      <c r="P172" s="140">
        <f t="shared" si="23"/>
        <v>0</v>
      </c>
      <c r="Q172" s="156">
        <f t="shared" si="24"/>
        <v>31.003063253035361</v>
      </c>
      <c r="R172" s="125">
        <v>2.0405453992311302</v>
      </c>
      <c r="S172" s="73">
        <f t="shared" si="25"/>
        <v>1629.6226946270085</v>
      </c>
      <c r="T172" t="s">
        <v>793</v>
      </c>
    </row>
    <row r="173" spans="1:20">
      <c r="A173" s="618" t="s">
        <v>735</v>
      </c>
      <c r="B173" s="618" t="s">
        <v>790</v>
      </c>
      <c r="C173" s="618" t="s">
        <v>814</v>
      </c>
      <c r="D173" s="631" t="s">
        <v>497</v>
      </c>
      <c r="E173" s="631" t="s">
        <v>792</v>
      </c>
      <c r="F173" s="628">
        <v>2.4380000000000002</v>
      </c>
      <c r="G173" s="628">
        <v>4.8559999999999999</v>
      </c>
      <c r="H173" s="628"/>
      <c r="I173" s="626">
        <f t="shared" si="27"/>
        <v>15.193517999999999</v>
      </c>
      <c r="J173" s="628">
        <v>4</v>
      </c>
      <c r="K173" s="140">
        <f t="shared" si="18"/>
        <v>719.49986267481597</v>
      </c>
      <c r="L173" s="140">
        <f t="shared" si="19"/>
        <v>719.49986267481597</v>
      </c>
      <c r="M173" s="140">
        <f t="shared" si="20"/>
        <v>0</v>
      </c>
      <c r="N173" s="140">
        <f t="shared" si="21"/>
        <v>0</v>
      </c>
      <c r="O173" s="140">
        <f t="shared" si="22"/>
        <v>0</v>
      </c>
      <c r="P173" s="140">
        <f t="shared" si="23"/>
        <v>0</v>
      </c>
      <c r="Q173" s="156">
        <f t="shared" si="24"/>
        <v>31.003063253035361</v>
      </c>
      <c r="R173" s="125">
        <v>2.0405453992311302</v>
      </c>
      <c r="S173" s="73">
        <f t="shared" si="25"/>
        <v>1468.1721345285257</v>
      </c>
      <c r="T173" t="s">
        <v>793</v>
      </c>
    </row>
    <row r="174" spans="1:20">
      <c r="A174" s="618" t="s">
        <v>735</v>
      </c>
      <c r="B174" s="618" t="s">
        <v>790</v>
      </c>
      <c r="C174" s="618" t="s">
        <v>814</v>
      </c>
      <c r="D174" s="631" t="s">
        <v>497</v>
      </c>
      <c r="E174" s="631" t="s">
        <v>792</v>
      </c>
      <c r="F174" s="628">
        <v>2.4380000000000002</v>
      </c>
      <c r="G174" s="628">
        <v>4.0890000000000004</v>
      </c>
      <c r="H174" s="628"/>
      <c r="I174" s="626">
        <f t="shared" si="27"/>
        <v>15.193517999999999</v>
      </c>
      <c r="J174" s="628">
        <v>4</v>
      </c>
      <c r="K174" s="140">
        <f t="shared" si="18"/>
        <v>605.85562983470413</v>
      </c>
      <c r="L174" s="140">
        <f t="shared" si="19"/>
        <v>605.85562983470413</v>
      </c>
      <c r="M174" s="140">
        <f t="shared" si="20"/>
        <v>0</v>
      </c>
      <c r="N174" s="140">
        <f t="shared" si="21"/>
        <v>0</v>
      </c>
      <c r="O174" s="140">
        <f t="shared" si="22"/>
        <v>0</v>
      </c>
      <c r="P174" s="140">
        <f t="shared" si="23"/>
        <v>0</v>
      </c>
      <c r="Q174" s="156">
        <f t="shared" si="24"/>
        <v>31.003063253035361</v>
      </c>
      <c r="R174" s="125">
        <v>2.0405453992311302</v>
      </c>
      <c r="S174" s="73">
        <f t="shared" si="25"/>
        <v>1236.2759180574842</v>
      </c>
      <c r="T174" t="s">
        <v>793</v>
      </c>
    </row>
    <row r="175" spans="1:20">
      <c r="A175" s="618" t="s">
        <v>735</v>
      </c>
      <c r="B175" s="618" t="s">
        <v>790</v>
      </c>
      <c r="C175" s="618" t="s">
        <v>814</v>
      </c>
      <c r="D175" s="631" t="s">
        <v>497</v>
      </c>
      <c r="E175" s="631" t="s">
        <v>792</v>
      </c>
      <c r="F175" s="628">
        <v>2.4380000000000002</v>
      </c>
      <c r="G175" s="628">
        <v>3.0670000000000002</v>
      </c>
      <c r="H175" s="628"/>
      <c r="I175" s="626">
        <f t="shared" si="27"/>
        <v>15.193517999999999</v>
      </c>
      <c r="J175" s="628">
        <v>4</v>
      </c>
      <c r="K175" s="140">
        <f t="shared" si="18"/>
        <v>454.428764172912</v>
      </c>
      <c r="L175" s="140">
        <f t="shared" si="19"/>
        <v>454.428764172912</v>
      </c>
      <c r="M175" s="140">
        <f t="shared" si="20"/>
        <v>0</v>
      </c>
      <c r="N175" s="140">
        <f t="shared" si="21"/>
        <v>0</v>
      </c>
      <c r="O175" s="140">
        <f t="shared" si="22"/>
        <v>0</v>
      </c>
      <c r="P175" s="140">
        <f t="shared" si="23"/>
        <v>0</v>
      </c>
      <c r="Q175" s="156">
        <f t="shared" si="24"/>
        <v>31.003063253035361</v>
      </c>
      <c r="R175" s="125">
        <v>2.0405453992311302</v>
      </c>
      <c r="S175" s="73">
        <f t="shared" si="25"/>
        <v>927.28252401132386</v>
      </c>
      <c r="T175" t="s">
        <v>793</v>
      </c>
    </row>
    <row r="176" spans="1:20">
      <c r="A176" s="618" t="s">
        <v>735</v>
      </c>
      <c r="B176" s="618" t="s">
        <v>790</v>
      </c>
      <c r="C176" s="618" t="s">
        <v>814</v>
      </c>
      <c r="D176" s="631" t="s">
        <v>497</v>
      </c>
      <c r="E176" s="631" t="s">
        <v>792</v>
      </c>
      <c r="F176" s="628">
        <v>2.52</v>
      </c>
      <c r="G176" s="628">
        <v>1.6950000000000001</v>
      </c>
      <c r="H176" s="628"/>
      <c r="I176" s="626">
        <f t="shared" si="27"/>
        <v>15.193517999999999</v>
      </c>
      <c r="J176" s="628">
        <v>4</v>
      </c>
      <c r="K176" s="140">
        <f t="shared" si="18"/>
        <v>259.59037114079996</v>
      </c>
      <c r="L176" s="140">
        <f t="shared" si="19"/>
        <v>259.59037114079996</v>
      </c>
      <c r="M176" s="140">
        <f t="shared" si="20"/>
        <v>0</v>
      </c>
      <c r="N176" s="140">
        <f t="shared" si="21"/>
        <v>0</v>
      </c>
      <c r="O176" s="140">
        <f t="shared" si="22"/>
        <v>0</v>
      </c>
      <c r="P176" s="140">
        <f t="shared" si="23"/>
        <v>0</v>
      </c>
      <c r="Q176" s="156">
        <f t="shared" si="24"/>
        <v>31.003063253035361</v>
      </c>
      <c r="R176" s="125">
        <v>2.0405453992311302</v>
      </c>
      <c r="S176" s="73">
        <f t="shared" si="25"/>
        <v>529.70593751606089</v>
      </c>
      <c r="T176" t="s">
        <v>793</v>
      </c>
    </row>
    <row r="177" spans="1:20">
      <c r="A177" s="618" t="s">
        <v>735</v>
      </c>
      <c r="B177" s="618" t="s">
        <v>790</v>
      </c>
      <c r="C177" s="618" t="s">
        <v>814</v>
      </c>
      <c r="D177" s="631" t="s">
        <v>497</v>
      </c>
      <c r="E177" s="631" t="s">
        <v>792</v>
      </c>
      <c r="F177" s="628">
        <v>2.4380000000000002</v>
      </c>
      <c r="G177" s="628">
        <v>10.654</v>
      </c>
      <c r="H177" s="628"/>
      <c r="I177" s="626">
        <f t="shared" si="27"/>
        <v>15.193517999999999</v>
      </c>
      <c r="J177" s="628">
        <v>2</v>
      </c>
      <c r="K177" s="140">
        <f t="shared" si="18"/>
        <v>789.28660800427201</v>
      </c>
      <c r="L177" s="140">
        <f t="shared" si="19"/>
        <v>789.28660800427201</v>
      </c>
      <c r="M177" s="140">
        <f t="shared" si="20"/>
        <v>0</v>
      </c>
      <c r="N177" s="140">
        <f t="shared" si="21"/>
        <v>0</v>
      </c>
      <c r="O177" s="140">
        <f t="shared" si="22"/>
        <v>0</v>
      </c>
      <c r="P177" s="140">
        <f t="shared" si="23"/>
        <v>0</v>
      </c>
      <c r="Q177" s="156">
        <f t="shared" si="24"/>
        <v>31.003063253035361</v>
      </c>
      <c r="R177" s="125">
        <v>2.0405453992311302</v>
      </c>
      <c r="S177" s="73">
        <f t="shared" si="25"/>
        <v>1610.5751566378617</v>
      </c>
      <c r="T177" t="s">
        <v>793</v>
      </c>
    </row>
    <row r="178" spans="1:20">
      <c r="A178" s="618" t="s">
        <v>735</v>
      </c>
      <c r="B178" s="618" t="s">
        <v>790</v>
      </c>
      <c r="C178" s="618" t="s">
        <v>814</v>
      </c>
      <c r="D178" s="631" t="s">
        <v>497</v>
      </c>
      <c r="E178" s="631" t="s">
        <v>792</v>
      </c>
      <c r="F178" s="628">
        <v>2.4380000000000002</v>
      </c>
      <c r="G178" s="628">
        <v>4.0919999999999996</v>
      </c>
      <c r="H178" s="628"/>
      <c r="I178" s="626">
        <f t="shared" si="27"/>
        <v>15.193517999999999</v>
      </c>
      <c r="J178" s="628">
        <v>2</v>
      </c>
      <c r="K178" s="140">
        <f t="shared" si="18"/>
        <v>303.15006569865596</v>
      </c>
      <c r="L178" s="140">
        <f t="shared" si="19"/>
        <v>303.15006569865596</v>
      </c>
      <c r="M178" s="140">
        <f t="shared" si="20"/>
        <v>0</v>
      </c>
      <c r="N178" s="140">
        <f t="shared" si="21"/>
        <v>0</v>
      </c>
      <c r="O178" s="140">
        <f t="shared" si="22"/>
        <v>0</v>
      </c>
      <c r="P178" s="140">
        <f t="shared" si="23"/>
        <v>0</v>
      </c>
      <c r="Q178" s="156">
        <f t="shared" si="24"/>
        <v>31.003063253035361</v>
      </c>
      <c r="R178" s="125">
        <v>2.0405453992311302</v>
      </c>
      <c r="S178" s="73">
        <f t="shared" si="25"/>
        <v>618.59147183800724</v>
      </c>
      <c r="T178" t="s">
        <v>793</v>
      </c>
    </row>
    <row r="179" spans="1:20">
      <c r="A179" s="618" t="s">
        <v>735</v>
      </c>
      <c r="B179" s="618" t="s">
        <v>790</v>
      </c>
      <c r="C179" s="618" t="s">
        <v>814</v>
      </c>
      <c r="D179" s="631" t="s">
        <v>497</v>
      </c>
      <c r="E179" s="631" t="s">
        <v>792</v>
      </c>
      <c r="F179" s="628">
        <v>2.4380000000000002</v>
      </c>
      <c r="G179" s="628">
        <v>6.7140000000000004</v>
      </c>
      <c r="H179" s="628"/>
      <c r="I179" s="626">
        <f t="shared" si="27"/>
        <v>15.193517999999999</v>
      </c>
      <c r="J179" s="628">
        <v>2</v>
      </c>
      <c r="K179" s="140">
        <f t="shared" si="18"/>
        <v>497.39724855835203</v>
      </c>
      <c r="L179" s="140">
        <f t="shared" si="19"/>
        <v>497.39724855835203</v>
      </c>
      <c r="M179" s="140">
        <f t="shared" si="20"/>
        <v>0</v>
      </c>
      <c r="N179" s="140">
        <f t="shared" si="21"/>
        <v>0</v>
      </c>
      <c r="O179" s="140">
        <f t="shared" si="22"/>
        <v>0</v>
      </c>
      <c r="P179" s="140">
        <f t="shared" si="23"/>
        <v>0</v>
      </c>
      <c r="Q179" s="156">
        <f t="shared" si="24"/>
        <v>31.003063253035361</v>
      </c>
      <c r="R179" s="125">
        <v>2.0405453992311302</v>
      </c>
      <c r="S179" s="73">
        <f t="shared" si="25"/>
        <v>1014.9616671359681</v>
      </c>
      <c r="T179" t="s">
        <v>793</v>
      </c>
    </row>
    <row r="180" spans="1:20">
      <c r="A180" s="618" t="s">
        <v>735</v>
      </c>
      <c r="B180" s="618" t="s">
        <v>790</v>
      </c>
      <c r="C180" s="618" t="s">
        <v>814</v>
      </c>
      <c r="D180" s="631" t="s">
        <v>497</v>
      </c>
      <c r="E180" s="631" t="s">
        <v>792</v>
      </c>
      <c r="F180" s="628">
        <v>2.4380000000000002</v>
      </c>
      <c r="G180" s="628">
        <v>12.192</v>
      </c>
      <c r="H180" s="628"/>
      <c r="I180" s="626">
        <f t="shared" si="27"/>
        <v>15.193517999999999</v>
      </c>
      <c r="J180" s="628">
        <v>2</v>
      </c>
      <c r="K180" s="140">
        <f t="shared" si="18"/>
        <v>903.22717521945606</v>
      </c>
      <c r="L180" s="140">
        <f t="shared" si="19"/>
        <v>903.22717521945606</v>
      </c>
      <c r="M180" s="140">
        <f t="shared" si="20"/>
        <v>0</v>
      </c>
      <c r="N180" s="140">
        <f t="shared" si="21"/>
        <v>0</v>
      </c>
      <c r="O180" s="140">
        <f t="shared" si="22"/>
        <v>0</v>
      </c>
      <c r="P180" s="140">
        <f t="shared" si="23"/>
        <v>0</v>
      </c>
      <c r="Q180" s="156">
        <f t="shared" si="24"/>
        <v>31.003063253035361</v>
      </c>
      <c r="R180" s="125">
        <v>2.0405453992311302</v>
      </c>
      <c r="S180" s="73">
        <f t="shared" si="25"/>
        <v>1843.0760568545909</v>
      </c>
      <c r="T180" t="s">
        <v>793</v>
      </c>
    </row>
    <row r="181" spans="1:20">
      <c r="A181" s="618" t="s">
        <v>735</v>
      </c>
      <c r="B181" s="618" t="s">
        <v>790</v>
      </c>
      <c r="C181" s="618" t="s">
        <v>814</v>
      </c>
      <c r="D181" s="631" t="s">
        <v>497</v>
      </c>
      <c r="E181" s="631" t="s">
        <v>792</v>
      </c>
      <c r="F181" s="628">
        <v>2.4380000000000002</v>
      </c>
      <c r="G181" s="628">
        <v>12.192</v>
      </c>
      <c r="H181" s="628"/>
      <c r="I181" s="626">
        <f t="shared" si="27"/>
        <v>15.193517999999999</v>
      </c>
      <c r="J181" s="628">
        <v>2</v>
      </c>
      <c r="K181" s="140">
        <f t="shared" si="18"/>
        <v>903.22717521945606</v>
      </c>
      <c r="L181" s="140">
        <f t="shared" si="19"/>
        <v>903.22717521945606</v>
      </c>
      <c r="M181" s="140">
        <f t="shared" si="20"/>
        <v>0</v>
      </c>
      <c r="N181" s="140">
        <f t="shared" si="21"/>
        <v>0</v>
      </c>
      <c r="O181" s="140">
        <f t="shared" si="22"/>
        <v>0</v>
      </c>
      <c r="P181" s="140">
        <f t="shared" si="23"/>
        <v>0</v>
      </c>
      <c r="Q181" s="156">
        <f t="shared" si="24"/>
        <v>31.003063253035361</v>
      </c>
      <c r="R181" s="125">
        <v>2.0405453992311302</v>
      </c>
      <c r="S181" s="73">
        <f t="shared" si="25"/>
        <v>1843.0760568545909</v>
      </c>
      <c r="T181" t="s">
        <v>793</v>
      </c>
    </row>
    <row r="182" spans="1:20">
      <c r="A182" s="618" t="s">
        <v>735</v>
      </c>
      <c r="B182" s="618" t="s">
        <v>790</v>
      </c>
      <c r="C182" s="618" t="s">
        <v>814</v>
      </c>
      <c r="D182" s="631" t="s">
        <v>497</v>
      </c>
      <c r="E182" s="631" t="s">
        <v>792</v>
      </c>
      <c r="F182" s="628">
        <v>2.4380000000000002</v>
      </c>
      <c r="G182" s="628">
        <v>10.019</v>
      </c>
      <c r="H182" s="628"/>
      <c r="I182" s="626">
        <f t="shared" si="27"/>
        <v>15.193517999999999</v>
      </c>
      <c r="J182" s="628">
        <v>2</v>
      </c>
      <c r="K182" s="140">
        <f t="shared" si="18"/>
        <v>742.24352596159201</v>
      </c>
      <c r="L182" s="140">
        <f t="shared" si="19"/>
        <v>742.24352596159201</v>
      </c>
      <c r="M182" s="140">
        <f t="shared" si="20"/>
        <v>0</v>
      </c>
      <c r="N182" s="140">
        <f t="shared" si="21"/>
        <v>0</v>
      </c>
      <c r="O182" s="140">
        <f t="shared" si="22"/>
        <v>0</v>
      </c>
      <c r="P182" s="140">
        <f t="shared" si="23"/>
        <v>0</v>
      </c>
      <c r="Q182" s="156">
        <f t="shared" si="24"/>
        <v>31.003063253035361</v>
      </c>
      <c r="R182" s="125">
        <v>2.0405453992311302</v>
      </c>
      <c r="S182" s="73">
        <f t="shared" si="25"/>
        <v>1514.5816120100185</v>
      </c>
      <c r="T182" t="s">
        <v>793</v>
      </c>
    </row>
    <row r="183" spans="1:20">
      <c r="A183" s="618" t="s">
        <v>735</v>
      </c>
      <c r="B183" s="618" t="s">
        <v>790</v>
      </c>
      <c r="C183" s="618" t="s">
        <v>814</v>
      </c>
      <c r="D183" s="631" t="s">
        <v>497</v>
      </c>
      <c r="E183" s="631" t="s">
        <v>792</v>
      </c>
      <c r="F183" s="628">
        <v>2.4380000000000002</v>
      </c>
      <c r="G183" s="628">
        <v>6.1360000000000001</v>
      </c>
      <c r="H183" s="628"/>
      <c r="I183" s="626">
        <f t="shared" si="27"/>
        <v>15.193517999999999</v>
      </c>
      <c r="J183" s="628">
        <v>2</v>
      </c>
      <c r="K183" s="140">
        <f t="shared" si="18"/>
        <v>454.57693136044799</v>
      </c>
      <c r="L183" s="140">
        <f t="shared" si="19"/>
        <v>454.57693136044799</v>
      </c>
      <c r="M183" s="140">
        <f t="shared" si="20"/>
        <v>0</v>
      </c>
      <c r="N183" s="140">
        <f t="shared" si="21"/>
        <v>0</v>
      </c>
      <c r="O183" s="140">
        <f t="shared" si="22"/>
        <v>0</v>
      </c>
      <c r="P183" s="140">
        <f t="shared" si="23"/>
        <v>0</v>
      </c>
      <c r="Q183" s="156">
        <f t="shared" si="24"/>
        <v>31.003063253035361</v>
      </c>
      <c r="R183" s="125">
        <v>2.0405453992311302</v>
      </c>
      <c r="S183" s="73">
        <f t="shared" si="25"/>
        <v>927.58486588416736</v>
      </c>
      <c r="T183" t="s">
        <v>793</v>
      </c>
    </row>
    <row r="184" spans="1:20">
      <c r="A184" s="618" t="s">
        <v>735</v>
      </c>
      <c r="B184" s="618" t="s">
        <v>790</v>
      </c>
      <c r="C184" s="618" t="s">
        <v>814</v>
      </c>
      <c r="D184" s="631" t="s">
        <v>497</v>
      </c>
      <c r="E184" s="631" t="s">
        <v>792</v>
      </c>
      <c r="F184" s="628">
        <v>2.4380000000000002</v>
      </c>
      <c r="G184" s="628">
        <v>12.192</v>
      </c>
      <c r="H184" s="628"/>
      <c r="I184" s="626">
        <f t="shared" si="27"/>
        <v>15.193517999999999</v>
      </c>
      <c r="J184" s="628">
        <v>2</v>
      </c>
      <c r="K184" s="140">
        <f t="shared" si="18"/>
        <v>903.22717521945606</v>
      </c>
      <c r="L184" s="140">
        <f t="shared" si="19"/>
        <v>903.22717521945606</v>
      </c>
      <c r="M184" s="140">
        <f t="shared" si="20"/>
        <v>0</v>
      </c>
      <c r="N184" s="140">
        <f t="shared" si="21"/>
        <v>0</v>
      </c>
      <c r="O184" s="140">
        <f t="shared" si="22"/>
        <v>0</v>
      </c>
      <c r="P184" s="140">
        <f t="shared" si="23"/>
        <v>0</v>
      </c>
      <c r="Q184" s="156">
        <f t="shared" si="24"/>
        <v>31.003063253035361</v>
      </c>
      <c r="R184" s="125">
        <v>2.0405453992311302</v>
      </c>
      <c r="S184" s="73">
        <f t="shared" si="25"/>
        <v>1843.0760568545909</v>
      </c>
      <c r="T184" t="s">
        <v>793</v>
      </c>
    </row>
    <row r="185" spans="1:20">
      <c r="A185" s="618" t="s">
        <v>735</v>
      </c>
      <c r="B185" s="618" t="s">
        <v>790</v>
      </c>
      <c r="C185" s="618" t="s">
        <v>814</v>
      </c>
      <c r="D185" s="631" t="s">
        <v>497</v>
      </c>
      <c r="E185" s="631" t="s">
        <v>792</v>
      </c>
      <c r="F185" s="628">
        <v>2.4380000000000002</v>
      </c>
      <c r="G185" s="628">
        <v>12.192</v>
      </c>
      <c r="H185" s="628"/>
      <c r="I185" s="626">
        <f t="shared" si="27"/>
        <v>15.193517999999999</v>
      </c>
      <c r="J185" s="628">
        <v>2</v>
      </c>
      <c r="K185" s="140">
        <f t="shared" si="18"/>
        <v>903.22717521945606</v>
      </c>
      <c r="L185" s="140">
        <f t="shared" si="19"/>
        <v>903.22717521945606</v>
      </c>
      <c r="M185" s="140">
        <f t="shared" si="20"/>
        <v>0</v>
      </c>
      <c r="N185" s="140">
        <f t="shared" si="21"/>
        <v>0</v>
      </c>
      <c r="O185" s="140">
        <f t="shared" si="22"/>
        <v>0</v>
      </c>
      <c r="P185" s="140">
        <f t="shared" si="23"/>
        <v>0</v>
      </c>
      <c r="Q185" s="156">
        <f t="shared" si="24"/>
        <v>31.003063253035361</v>
      </c>
      <c r="R185" s="125">
        <v>2.0405453992311302</v>
      </c>
      <c r="S185" s="73">
        <f t="shared" si="25"/>
        <v>1843.0760568545909</v>
      </c>
      <c r="T185" t="s">
        <v>793</v>
      </c>
    </row>
    <row r="186" spans="1:20">
      <c r="A186" s="618" t="s">
        <v>735</v>
      </c>
      <c r="B186" s="618" t="s">
        <v>790</v>
      </c>
      <c r="C186" s="618" t="s">
        <v>814</v>
      </c>
      <c r="D186" s="631" t="s">
        <v>497</v>
      </c>
      <c r="E186" s="631" t="s">
        <v>792</v>
      </c>
      <c r="F186" s="628">
        <v>2.4380000000000002</v>
      </c>
      <c r="G186" s="628">
        <v>2.544</v>
      </c>
      <c r="H186" s="628"/>
      <c r="I186" s="626">
        <f t="shared" si="27"/>
        <v>15.193517999999999</v>
      </c>
      <c r="J186" s="628">
        <v>2</v>
      </c>
      <c r="K186" s="140">
        <f t="shared" si="18"/>
        <v>188.468662545792</v>
      </c>
      <c r="L186" s="140">
        <f t="shared" si="19"/>
        <v>188.468662545792</v>
      </c>
      <c r="M186" s="140">
        <f t="shared" si="20"/>
        <v>0</v>
      </c>
      <c r="N186" s="140">
        <f t="shared" si="21"/>
        <v>0</v>
      </c>
      <c r="O186" s="140">
        <f t="shared" si="22"/>
        <v>0</v>
      </c>
      <c r="P186" s="140">
        <f t="shared" si="23"/>
        <v>0</v>
      </c>
      <c r="Q186" s="156">
        <f t="shared" si="24"/>
        <v>31.003063253035361</v>
      </c>
      <c r="R186" s="125">
        <v>2.0405453992311302</v>
      </c>
      <c r="S186" s="73">
        <f t="shared" si="25"/>
        <v>384.57886225706028</v>
      </c>
      <c r="T186" t="s">
        <v>793</v>
      </c>
    </row>
    <row r="187" spans="1:20">
      <c r="A187" s="618" t="s">
        <v>735</v>
      </c>
      <c r="B187" s="618" t="s">
        <v>790</v>
      </c>
      <c r="C187" s="618" t="s">
        <v>814</v>
      </c>
      <c r="D187" s="631" t="s">
        <v>497</v>
      </c>
      <c r="E187" s="631" t="s">
        <v>792</v>
      </c>
      <c r="F187" s="628">
        <v>2.4380000000000002</v>
      </c>
      <c r="G187" s="628">
        <v>4.0780000000000003</v>
      </c>
      <c r="H187" s="628"/>
      <c r="I187" s="626">
        <f t="shared" si="27"/>
        <v>15.193517999999999</v>
      </c>
      <c r="J187" s="628">
        <v>2</v>
      </c>
      <c r="K187" s="140">
        <f t="shared" si="18"/>
        <v>302.11289538590404</v>
      </c>
      <c r="L187" s="140">
        <f t="shared" si="19"/>
        <v>302.11289538590404</v>
      </c>
      <c r="M187" s="140">
        <f t="shared" si="20"/>
        <v>0</v>
      </c>
      <c r="N187" s="140">
        <f t="shared" si="21"/>
        <v>0</v>
      </c>
      <c r="O187" s="140">
        <f t="shared" si="22"/>
        <v>0</v>
      </c>
      <c r="P187" s="140">
        <f t="shared" si="23"/>
        <v>0</v>
      </c>
      <c r="Q187" s="156">
        <f t="shared" si="24"/>
        <v>31.003063253035361</v>
      </c>
      <c r="R187" s="125">
        <v>2.0405453992311302</v>
      </c>
      <c r="S187" s="73">
        <f t="shared" si="25"/>
        <v>616.47507872810229</v>
      </c>
      <c r="T187" t="s">
        <v>793</v>
      </c>
    </row>
    <row r="188" spans="1:20">
      <c r="A188" s="618" t="s">
        <v>735</v>
      </c>
      <c r="B188" s="618" t="s">
        <v>790</v>
      </c>
      <c r="C188" s="618" t="s">
        <v>814</v>
      </c>
      <c r="D188" s="631" t="s">
        <v>497</v>
      </c>
      <c r="E188" s="631" t="s">
        <v>792</v>
      </c>
      <c r="F188" s="628">
        <v>2.4380000000000002</v>
      </c>
      <c r="G188" s="628">
        <v>12.192</v>
      </c>
      <c r="H188" s="628"/>
      <c r="I188" s="626">
        <f t="shared" si="27"/>
        <v>15.193517999999999</v>
      </c>
      <c r="J188" s="628">
        <v>2</v>
      </c>
      <c r="K188" s="140">
        <f t="shared" si="18"/>
        <v>903.22717521945606</v>
      </c>
      <c r="L188" s="140">
        <f t="shared" si="19"/>
        <v>903.22717521945606</v>
      </c>
      <c r="M188" s="140">
        <f t="shared" si="20"/>
        <v>0</v>
      </c>
      <c r="N188" s="140">
        <f t="shared" si="21"/>
        <v>0</v>
      </c>
      <c r="O188" s="140">
        <f t="shared" si="22"/>
        <v>0</v>
      </c>
      <c r="P188" s="140">
        <f t="shared" si="23"/>
        <v>0</v>
      </c>
      <c r="Q188" s="156">
        <f t="shared" si="24"/>
        <v>31.003063253035361</v>
      </c>
      <c r="R188" s="125">
        <v>2.0405453992311302</v>
      </c>
      <c r="S188" s="73">
        <f t="shared" si="25"/>
        <v>1843.0760568545909</v>
      </c>
      <c r="T188" t="s">
        <v>793</v>
      </c>
    </row>
    <row r="189" spans="1:20">
      <c r="A189" s="618" t="s">
        <v>735</v>
      </c>
      <c r="B189" s="618" t="s">
        <v>790</v>
      </c>
      <c r="C189" s="618" t="s">
        <v>814</v>
      </c>
      <c r="D189" s="631" t="s">
        <v>497</v>
      </c>
      <c r="E189" s="631" t="s">
        <v>792</v>
      </c>
      <c r="F189" s="628">
        <v>2.4380000000000002</v>
      </c>
      <c r="G189" s="628">
        <v>12.192</v>
      </c>
      <c r="H189" s="628"/>
      <c r="I189" s="626">
        <f t="shared" si="27"/>
        <v>15.193517999999999</v>
      </c>
      <c r="J189" s="628">
        <v>2</v>
      </c>
      <c r="K189" s="140">
        <f t="shared" si="18"/>
        <v>903.22717521945606</v>
      </c>
      <c r="L189" s="140">
        <f t="shared" si="19"/>
        <v>903.22717521945606</v>
      </c>
      <c r="M189" s="140">
        <f t="shared" si="20"/>
        <v>0</v>
      </c>
      <c r="N189" s="140">
        <f t="shared" si="21"/>
        <v>0</v>
      </c>
      <c r="O189" s="140">
        <f t="shared" si="22"/>
        <v>0</v>
      </c>
      <c r="P189" s="140">
        <f t="shared" si="23"/>
        <v>0</v>
      </c>
      <c r="Q189" s="156">
        <f t="shared" si="24"/>
        <v>31.003063253035361</v>
      </c>
      <c r="R189" s="125">
        <v>2.0405453992311302</v>
      </c>
      <c r="S189" s="73">
        <f t="shared" si="25"/>
        <v>1843.0760568545909</v>
      </c>
      <c r="T189" t="s">
        <v>793</v>
      </c>
    </row>
    <row r="190" spans="1:20">
      <c r="A190" s="618" t="s">
        <v>735</v>
      </c>
      <c r="B190" s="618" t="s">
        <v>790</v>
      </c>
      <c r="C190" s="618" t="s">
        <v>814</v>
      </c>
      <c r="D190" s="631" t="s">
        <v>497</v>
      </c>
      <c r="E190" s="631" t="s">
        <v>792</v>
      </c>
      <c r="F190" s="628">
        <v>2.4380000000000002</v>
      </c>
      <c r="G190" s="628">
        <v>5.1459999999999999</v>
      </c>
      <c r="H190" s="628"/>
      <c r="I190" s="626">
        <f t="shared" si="27"/>
        <v>15.193517999999999</v>
      </c>
      <c r="J190" s="628">
        <v>2</v>
      </c>
      <c r="K190" s="140">
        <f t="shared" si="18"/>
        <v>381.23417353012803</v>
      </c>
      <c r="L190" s="140">
        <f t="shared" si="19"/>
        <v>381.23417353012803</v>
      </c>
      <c r="M190" s="140">
        <f t="shared" si="20"/>
        <v>0</v>
      </c>
      <c r="N190" s="140">
        <f t="shared" si="21"/>
        <v>0</v>
      </c>
      <c r="O190" s="140">
        <f t="shared" si="22"/>
        <v>0</v>
      </c>
      <c r="P190" s="140">
        <f t="shared" si="23"/>
        <v>0</v>
      </c>
      <c r="Q190" s="156">
        <f t="shared" si="24"/>
        <v>31.003063253035361</v>
      </c>
      <c r="R190" s="125">
        <v>2.0405453992311302</v>
      </c>
      <c r="S190" s="73">
        <f t="shared" si="25"/>
        <v>777.9256388265851</v>
      </c>
      <c r="T190" t="s">
        <v>793</v>
      </c>
    </row>
    <row r="191" spans="1:20">
      <c r="A191" s="618" t="s">
        <v>735</v>
      </c>
      <c r="B191" s="618" t="s">
        <v>790</v>
      </c>
      <c r="C191" s="618" t="s">
        <v>814</v>
      </c>
      <c r="D191" s="631" t="s">
        <v>497</v>
      </c>
      <c r="E191" s="631" t="s">
        <v>792</v>
      </c>
      <c r="F191" s="628">
        <v>2.4380000000000002</v>
      </c>
      <c r="G191" s="628">
        <v>5.774</v>
      </c>
      <c r="H191" s="628"/>
      <c r="I191" s="626">
        <f t="shared" si="27"/>
        <v>15.193517999999999</v>
      </c>
      <c r="J191" s="628">
        <v>2</v>
      </c>
      <c r="K191" s="140">
        <f t="shared" si="18"/>
        <v>427.75867041643204</v>
      </c>
      <c r="L191" s="140">
        <f t="shared" si="19"/>
        <v>427.75867041643204</v>
      </c>
      <c r="M191" s="140">
        <f t="shared" si="20"/>
        <v>0</v>
      </c>
      <c r="N191" s="140">
        <f t="shared" si="21"/>
        <v>0</v>
      </c>
      <c r="O191" s="140">
        <f t="shared" si="22"/>
        <v>0</v>
      </c>
      <c r="P191" s="140">
        <f t="shared" si="23"/>
        <v>0</v>
      </c>
      <c r="Q191" s="156">
        <f t="shared" si="24"/>
        <v>31.003063253035361</v>
      </c>
      <c r="R191" s="125">
        <v>2.0405453992311302</v>
      </c>
      <c r="S191" s="73">
        <f t="shared" si="25"/>
        <v>872.86098689947573</v>
      </c>
      <c r="T191" t="s">
        <v>793</v>
      </c>
    </row>
    <row r="192" spans="1:20">
      <c r="A192" s="618" t="s">
        <v>735</v>
      </c>
      <c r="B192" s="618" t="s">
        <v>790</v>
      </c>
      <c r="C192" s="618" t="s">
        <v>814</v>
      </c>
      <c r="D192" s="631" t="s">
        <v>497</v>
      </c>
      <c r="E192" s="631" t="s">
        <v>792</v>
      </c>
      <c r="F192" s="628">
        <v>2.4380000000000002</v>
      </c>
      <c r="G192" s="628">
        <v>12.192</v>
      </c>
      <c r="H192" s="628"/>
      <c r="I192" s="626">
        <f t="shared" si="27"/>
        <v>15.193517999999999</v>
      </c>
      <c r="J192" s="628">
        <v>2</v>
      </c>
      <c r="K192" s="140">
        <f t="shared" si="18"/>
        <v>903.22717521945606</v>
      </c>
      <c r="L192" s="140">
        <f t="shared" si="19"/>
        <v>903.22717521945606</v>
      </c>
      <c r="M192" s="140">
        <f t="shared" si="20"/>
        <v>0</v>
      </c>
      <c r="N192" s="140">
        <f t="shared" si="21"/>
        <v>0</v>
      </c>
      <c r="O192" s="140">
        <f t="shared" si="22"/>
        <v>0</v>
      </c>
      <c r="P192" s="140">
        <f t="shared" si="23"/>
        <v>0</v>
      </c>
      <c r="Q192" s="156">
        <f t="shared" si="24"/>
        <v>31.003063253035361</v>
      </c>
      <c r="R192" s="125">
        <v>2.0405453992311302</v>
      </c>
      <c r="S192" s="73">
        <f t="shared" si="25"/>
        <v>1843.0760568545909</v>
      </c>
      <c r="T192" t="s">
        <v>793</v>
      </c>
    </row>
    <row r="193" spans="1:20">
      <c r="A193" s="618" t="s">
        <v>735</v>
      </c>
      <c r="B193" s="618" t="s">
        <v>790</v>
      </c>
      <c r="C193" s="618" t="s">
        <v>814</v>
      </c>
      <c r="D193" s="631" t="s">
        <v>497</v>
      </c>
      <c r="E193" s="631" t="s">
        <v>792</v>
      </c>
      <c r="F193" s="628">
        <v>2.4380000000000002</v>
      </c>
      <c r="G193" s="628">
        <v>12.192</v>
      </c>
      <c r="H193" s="628"/>
      <c r="I193" s="626">
        <f t="shared" si="27"/>
        <v>15.193517999999999</v>
      </c>
      <c r="J193" s="628">
        <v>2</v>
      </c>
      <c r="K193" s="140">
        <f t="shared" si="18"/>
        <v>903.22717521945606</v>
      </c>
      <c r="L193" s="140">
        <f t="shared" si="19"/>
        <v>903.22717521945606</v>
      </c>
      <c r="M193" s="140">
        <f t="shared" si="20"/>
        <v>0</v>
      </c>
      <c r="N193" s="140">
        <f t="shared" si="21"/>
        <v>0</v>
      </c>
      <c r="O193" s="140">
        <f t="shared" si="22"/>
        <v>0</v>
      </c>
      <c r="P193" s="140">
        <f t="shared" si="23"/>
        <v>0</v>
      </c>
      <c r="Q193" s="156">
        <f t="shared" si="24"/>
        <v>31.003063253035361</v>
      </c>
      <c r="R193" s="125">
        <v>2.0405453992311302</v>
      </c>
      <c r="S193" s="73">
        <f t="shared" si="25"/>
        <v>1843.0760568545909</v>
      </c>
      <c r="T193" t="s">
        <v>793</v>
      </c>
    </row>
    <row r="194" spans="1:20">
      <c r="A194" s="618" t="s">
        <v>735</v>
      </c>
      <c r="B194" s="618" t="s">
        <v>790</v>
      </c>
      <c r="C194" s="618" t="s">
        <v>814</v>
      </c>
      <c r="D194" s="631" t="s">
        <v>497</v>
      </c>
      <c r="E194" s="631" t="s">
        <v>792</v>
      </c>
      <c r="F194" s="628">
        <v>2.4380000000000002</v>
      </c>
      <c r="G194" s="628">
        <v>5.98</v>
      </c>
      <c r="H194" s="628"/>
      <c r="I194" s="626">
        <f t="shared" si="27"/>
        <v>15.193517999999999</v>
      </c>
      <c r="J194" s="628">
        <v>2</v>
      </c>
      <c r="K194" s="140">
        <f t="shared" si="18"/>
        <v>443.01989073264002</v>
      </c>
      <c r="L194" s="140">
        <f t="shared" si="19"/>
        <v>443.01989073264002</v>
      </c>
      <c r="M194" s="140">
        <f t="shared" si="20"/>
        <v>0</v>
      </c>
      <c r="N194" s="140">
        <f t="shared" si="21"/>
        <v>0</v>
      </c>
      <c r="O194" s="140">
        <f t="shared" si="22"/>
        <v>0</v>
      </c>
      <c r="P194" s="140">
        <f t="shared" si="23"/>
        <v>0</v>
      </c>
      <c r="Q194" s="156">
        <f t="shared" si="24"/>
        <v>31.003063253035361</v>
      </c>
      <c r="R194" s="125">
        <v>2.0405453992311302</v>
      </c>
      <c r="S194" s="73">
        <f t="shared" si="25"/>
        <v>904.00219980236659</v>
      </c>
      <c r="T194" t="s">
        <v>793</v>
      </c>
    </row>
    <row r="195" spans="1:20">
      <c r="A195" s="618" t="s">
        <v>735</v>
      </c>
      <c r="B195" s="618" t="s">
        <v>790</v>
      </c>
      <c r="C195" s="618" t="s">
        <v>814</v>
      </c>
      <c r="D195" s="631" t="s">
        <v>497</v>
      </c>
      <c r="E195" s="631" t="s">
        <v>792</v>
      </c>
      <c r="F195" s="628">
        <v>2.4380000000000002</v>
      </c>
      <c r="G195" s="628">
        <v>12.192</v>
      </c>
      <c r="H195" s="628"/>
      <c r="I195" s="626">
        <f t="shared" si="27"/>
        <v>15.193517999999999</v>
      </c>
      <c r="J195" s="628">
        <v>46</v>
      </c>
      <c r="K195" s="140">
        <f t="shared" ref="K195:K258" si="28">PRODUCT(F195:J195)</f>
        <v>20774.225030047488</v>
      </c>
      <c r="L195" s="140">
        <f t="shared" ref="L195:L258" si="29">IF(B195="Lámina",K195,0)</f>
        <v>20774.225030047488</v>
      </c>
      <c r="M195" s="140">
        <f t="shared" ref="M195:M258" si="30">IF(B195="Tubería",K195,0)</f>
        <v>0</v>
      </c>
      <c r="N195" s="140">
        <f t="shared" ref="N195:N258" si="31">IF(B195="Accesorio",K195,0)</f>
        <v>0</v>
      </c>
      <c r="O195" s="140">
        <f t="shared" ref="O195:O258" si="32">IF(B195="Perfil",K195,0)</f>
        <v>0</v>
      </c>
      <c r="P195" s="140">
        <f t="shared" ref="P195:P258" si="33">IF(B195="Tornillería",K195,0)</f>
        <v>0</v>
      </c>
      <c r="Q195" s="156">
        <f t="shared" ref="Q195:Q258" si="34">I195*R195</f>
        <v>31.003063253035361</v>
      </c>
      <c r="R195" s="125">
        <v>2.0405453992311302</v>
      </c>
      <c r="S195" s="73">
        <f t="shared" ref="S195:S258" si="35">R195*K195</f>
        <v>42390.749307655591</v>
      </c>
      <c r="T195" t="s">
        <v>793</v>
      </c>
    </row>
    <row r="196" spans="1:20">
      <c r="A196" s="618" t="s">
        <v>736</v>
      </c>
      <c r="B196" s="618" t="s">
        <v>790</v>
      </c>
      <c r="C196" s="618" t="s">
        <v>814</v>
      </c>
      <c r="D196" s="631" t="s">
        <v>497</v>
      </c>
      <c r="E196" s="631" t="s">
        <v>792</v>
      </c>
      <c r="F196" s="628">
        <v>2.4380000000000002</v>
      </c>
      <c r="G196" s="628">
        <v>6.5549999999999997</v>
      </c>
      <c r="H196" s="628"/>
      <c r="I196" s="626">
        <f t="shared" si="27"/>
        <v>15.193517999999999</v>
      </c>
      <c r="J196" s="628">
        <v>2</v>
      </c>
      <c r="K196" s="140">
        <f t="shared" si="28"/>
        <v>485.61795714924</v>
      </c>
      <c r="L196" s="140">
        <f t="shared" si="29"/>
        <v>485.61795714924</v>
      </c>
      <c r="M196" s="140">
        <f t="shared" si="30"/>
        <v>0</v>
      </c>
      <c r="N196" s="140">
        <f t="shared" si="31"/>
        <v>0</v>
      </c>
      <c r="O196" s="140">
        <f t="shared" si="32"/>
        <v>0</v>
      </c>
      <c r="P196" s="140">
        <f t="shared" si="33"/>
        <v>0</v>
      </c>
      <c r="Q196" s="156">
        <f t="shared" si="34"/>
        <v>31.003063253035361</v>
      </c>
      <c r="R196" s="125">
        <v>2.0405453992311302</v>
      </c>
      <c r="S196" s="73">
        <f t="shared" si="35"/>
        <v>990.92548824490177</v>
      </c>
      <c r="T196" t="s">
        <v>793</v>
      </c>
    </row>
    <row r="197" spans="1:20">
      <c r="A197" s="618" t="s">
        <v>736</v>
      </c>
      <c r="B197" s="618" t="s">
        <v>790</v>
      </c>
      <c r="C197" s="618" t="s">
        <v>814</v>
      </c>
      <c r="D197" s="631" t="s">
        <v>497</v>
      </c>
      <c r="E197" s="631" t="s">
        <v>792</v>
      </c>
      <c r="F197" s="628">
        <v>2.4380000000000002</v>
      </c>
      <c r="G197" s="628">
        <v>5.8070000000000004</v>
      </c>
      <c r="H197" s="628"/>
      <c r="I197" s="626">
        <f t="shared" si="27"/>
        <v>15.193517999999999</v>
      </c>
      <c r="J197" s="628">
        <v>4</v>
      </c>
      <c r="K197" s="140">
        <f t="shared" si="28"/>
        <v>860.40685802155201</v>
      </c>
      <c r="L197" s="140">
        <f t="shared" si="29"/>
        <v>860.40685802155201</v>
      </c>
      <c r="M197" s="140">
        <f t="shared" si="30"/>
        <v>0</v>
      </c>
      <c r="N197" s="140">
        <f t="shared" si="31"/>
        <v>0</v>
      </c>
      <c r="O197" s="140">
        <f t="shared" si="32"/>
        <v>0</v>
      </c>
      <c r="P197" s="140">
        <f t="shared" si="33"/>
        <v>0</v>
      </c>
      <c r="Q197" s="156">
        <f t="shared" si="34"/>
        <v>31.003063253035361</v>
      </c>
      <c r="R197" s="125">
        <v>2.0405453992311302</v>
      </c>
      <c r="S197" s="73">
        <f t="shared" si="35"/>
        <v>1755.6992556027901</v>
      </c>
      <c r="T197" t="s">
        <v>793</v>
      </c>
    </row>
    <row r="198" spans="1:20">
      <c r="A198" s="618" t="s">
        <v>736</v>
      </c>
      <c r="B198" s="618" t="s">
        <v>790</v>
      </c>
      <c r="C198" s="618" t="s">
        <v>814</v>
      </c>
      <c r="D198" s="631" t="s">
        <v>497</v>
      </c>
      <c r="E198" s="631" t="s">
        <v>792</v>
      </c>
      <c r="F198" s="628">
        <v>2.4380000000000002</v>
      </c>
      <c r="G198" s="628">
        <v>5.7039999999999997</v>
      </c>
      <c r="H198" s="628"/>
      <c r="I198" s="626">
        <f t="shared" si="27"/>
        <v>15.193517999999999</v>
      </c>
      <c r="J198" s="628">
        <v>4</v>
      </c>
      <c r="K198" s="140">
        <f t="shared" si="28"/>
        <v>845.14563770534392</v>
      </c>
      <c r="L198" s="140">
        <f t="shared" si="29"/>
        <v>845.14563770534392</v>
      </c>
      <c r="M198" s="140">
        <f t="shared" si="30"/>
        <v>0</v>
      </c>
      <c r="N198" s="140">
        <f t="shared" si="31"/>
        <v>0</v>
      </c>
      <c r="O198" s="140">
        <f t="shared" si="32"/>
        <v>0</v>
      </c>
      <c r="P198" s="140">
        <f t="shared" si="33"/>
        <v>0</v>
      </c>
      <c r="Q198" s="156">
        <f t="shared" si="34"/>
        <v>31.003063253035361</v>
      </c>
      <c r="R198" s="125">
        <v>2.0405453992311302</v>
      </c>
      <c r="S198" s="73">
        <f t="shared" si="35"/>
        <v>1724.558042699899</v>
      </c>
      <c r="T198" t="s">
        <v>793</v>
      </c>
    </row>
    <row r="199" spans="1:20">
      <c r="A199" s="618" t="s">
        <v>736</v>
      </c>
      <c r="B199" s="618" t="s">
        <v>790</v>
      </c>
      <c r="C199" s="618" t="s">
        <v>814</v>
      </c>
      <c r="D199" s="631" t="s">
        <v>497</v>
      </c>
      <c r="E199" s="631" t="s">
        <v>792</v>
      </c>
      <c r="F199" s="628">
        <v>2.4380000000000002</v>
      </c>
      <c r="G199" s="628">
        <v>5.39</v>
      </c>
      <c r="H199" s="628"/>
      <c r="I199" s="626">
        <f t="shared" si="27"/>
        <v>15.193517999999999</v>
      </c>
      <c r="J199" s="628">
        <v>4</v>
      </c>
      <c r="K199" s="140">
        <f t="shared" si="28"/>
        <v>798.62114081903997</v>
      </c>
      <c r="L199" s="140">
        <f t="shared" si="29"/>
        <v>798.62114081903997</v>
      </c>
      <c r="M199" s="140">
        <f t="shared" si="30"/>
        <v>0</v>
      </c>
      <c r="N199" s="140">
        <f t="shared" si="31"/>
        <v>0</v>
      </c>
      <c r="O199" s="140">
        <f t="shared" si="32"/>
        <v>0</v>
      </c>
      <c r="P199" s="140">
        <f t="shared" si="33"/>
        <v>0</v>
      </c>
      <c r="Q199" s="156">
        <f t="shared" si="34"/>
        <v>31.003063253035361</v>
      </c>
      <c r="R199" s="125">
        <v>2.0405453992311302</v>
      </c>
      <c r="S199" s="73">
        <f t="shared" si="35"/>
        <v>1629.6226946270085</v>
      </c>
      <c r="T199" t="s">
        <v>793</v>
      </c>
    </row>
    <row r="200" spans="1:20">
      <c r="A200" s="618" t="s">
        <v>736</v>
      </c>
      <c r="B200" s="618" t="s">
        <v>790</v>
      </c>
      <c r="C200" s="618" t="s">
        <v>814</v>
      </c>
      <c r="D200" s="631" t="s">
        <v>497</v>
      </c>
      <c r="E200" s="631" t="s">
        <v>792</v>
      </c>
      <c r="F200" s="628">
        <v>2.4380000000000002</v>
      </c>
      <c r="G200" s="628">
        <v>4.8559999999999999</v>
      </c>
      <c r="H200" s="628"/>
      <c r="I200" s="626">
        <f t="shared" si="27"/>
        <v>15.193517999999999</v>
      </c>
      <c r="J200" s="628">
        <v>4</v>
      </c>
      <c r="K200" s="140">
        <f t="shared" si="28"/>
        <v>719.49986267481597</v>
      </c>
      <c r="L200" s="140">
        <f t="shared" si="29"/>
        <v>719.49986267481597</v>
      </c>
      <c r="M200" s="140">
        <f t="shared" si="30"/>
        <v>0</v>
      </c>
      <c r="N200" s="140">
        <f t="shared" si="31"/>
        <v>0</v>
      </c>
      <c r="O200" s="140">
        <f t="shared" si="32"/>
        <v>0</v>
      </c>
      <c r="P200" s="140">
        <f t="shared" si="33"/>
        <v>0</v>
      </c>
      <c r="Q200" s="156">
        <f t="shared" si="34"/>
        <v>31.003063253035361</v>
      </c>
      <c r="R200" s="125">
        <v>2.0405453992311302</v>
      </c>
      <c r="S200" s="73">
        <f t="shared" si="35"/>
        <v>1468.1721345285257</v>
      </c>
      <c r="T200" t="s">
        <v>793</v>
      </c>
    </row>
    <row r="201" spans="1:20">
      <c r="A201" s="618" t="s">
        <v>736</v>
      </c>
      <c r="B201" s="618" t="s">
        <v>790</v>
      </c>
      <c r="C201" s="618" t="s">
        <v>814</v>
      </c>
      <c r="D201" s="631" t="s">
        <v>497</v>
      </c>
      <c r="E201" s="631" t="s">
        <v>792</v>
      </c>
      <c r="F201" s="628">
        <v>2.4380000000000002</v>
      </c>
      <c r="G201" s="628">
        <v>4.0890000000000004</v>
      </c>
      <c r="H201" s="628"/>
      <c r="I201" s="626">
        <f t="shared" ref="I201:I222" si="36">8*0.0254*7850*3*0.0254/8</f>
        <v>15.193517999999999</v>
      </c>
      <c r="J201" s="628">
        <v>4</v>
      </c>
      <c r="K201" s="140">
        <f t="shared" si="28"/>
        <v>605.85562983470413</v>
      </c>
      <c r="L201" s="140">
        <f t="shared" si="29"/>
        <v>605.85562983470413</v>
      </c>
      <c r="M201" s="140">
        <f t="shared" si="30"/>
        <v>0</v>
      </c>
      <c r="N201" s="140">
        <f t="shared" si="31"/>
        <v>0</v>
      </c>
      <c r="O201" s="140">
        <f t="shared" si="32"/>
        <v>0</v>
      </c>
      <c r="P201" s="140">
        <f t="shared" si="33"/>
        <v>0</v>
      </c>
      <c r="Q201" s="156">
        <f t="shared" si="34"/>
        <v>31.003063253035361</v>
      </c>
      <c r="R201" s="125">
        <v>2.0405453992311302</v>
      </c>
      <c r="S201" s="73">
        <f t="shared" si="35"/>
        <v>1236.2759180574842</v>
      </c>
      <c r="T201" t="s">
        <v>793</v>
      </c>
    </row>
    <row r="202" spans="1:20">
      <c r="A202" s="618" t="s">
        <v>736</v>
      </c>
      <c r="B202" s="618" t="s">
        <v>790</v>
      </c>
      <c r="C202" s="618" t="s">
        <v>814</v>
      </c>
      <c r="D202" s="631" t="s">
        <v>497</v>
      </c>
      <c r="E202" s="631" t="s">
        <v>792</v>
      </c>
      <c r="F202" s="628">
        <v>2.4380000000000002</v>
      </c>
      <c r="G202" s="628">
        <v>3.0670000000000002</v>
      </c>
      <c r="H202" s="628"/>
      <c r="I202" s="626">
        <f t="shared" si="36"/>
        <v>15.193517999999999</v>
      </c>
      <c r="J202" s="628">
        <v>4</v>
      </c>
      <c r="K202" s="140">
        <f t="shared" si="28"/>
        <v>454.428764172912</v>
      </c>
      <c r="L202" s="140">
        <f t="shared" si="29"/>
        <v>454.428764172912</v>
      </c>
      <c r="M202" s="140">
        <f t="shared" si="30"/>
        <v>0</v>
      </c>
      <c r="N202" s="140">
        <f t="shared" si="31"/>
        <v>0</v>
      </c>
      <c r="O202" s="140">
        <f t="shared" si="32"/>
        <v>0</v>
      </c>
      <c r="P202" s="140">
        <f t="shared" si="33"/>
        <v>0</v>
      </c>
      <c r="Q202" s="156">
        <f t="shared" si="34"/>
        <v>31.003063253035361</v>
      </c>
      <c r="R202" s="125">
        <v>2.0405453992311302</v>
      </c>
      <c r="S202" s="73">
        <f t="shared" si="35"/>
        <v>927.28252401132386</v>
      </c>
      <c r="T202" t="s">
        <v>793</v>
      </c>
    </row>
    <row r="203" spans="1:20">
      <c r="A203" s="618" t="s">
        <v>736</v>
      </c>
      <c r="B203" s="618" t="s">
        <v>790</v>
      </c>
      <c r="C203" s="618" t="s">
        <v>814</v>
      </c>
      <c r="D203" s="631" t="s">
        <v>497</v>
      </c>
      <c r="E203" s="631" t="s">
        <v>792</v>
      </c>
      <c r="F203" s="628">
        <v>2.52</v>
      </c>
      <c r="G203" s="628">
        <v>1.6950000000000001</v>
      </c>
      <c r="H203" s="628"/>
      <c r="I203" s="626">
        <f t="shared" si="36"/>
        <v>15.193517999999999</v>
      </c>
      <c r="J203" s="628">
        <v>4</v>
      </c>
      <c r="K203" s="140">
        <f t="shared" si="28"/>
        <v>259.59037114079996</v>
      </c>
      <c r="L203" s="140">
        <f t="shared" si="29"/>
        <v>259.59037114079996</v>
      </c>
      <c r="M203" s="140">
        <f t="shared" si="30"/>
        <v>0</v>
      </c>
      <c r="N203" s="140">
        <f t="shared" si="31"/>
        <v>0</v>
      </c>
      <c r="O203" s="140">
        <f t="shared" si="32"/>
        <v>0</v>
      </c>
      <c r="P203" s="140">
        <f t="shared" si="33"/>
        <v>0</v>
      </c>
      <c r="Q203" s="156">
        <f t="shared" si="34"/>
        <v>31.003063253035361</v>
      </c>
      <c r="R203" s="125">
        <v>2.0405453992311302</v>
      </c>
      <c r="S203" s="73">
        <f t="shared" si="35"/>
        <v>529.70593751606089</v>
      </c>
      <c r="T203" t="s">
        <v>793</v>
      </c>
    </row>
    <row r="204" spans="1:20">
      <c r="A204" s="618" t="s">
        <v>736</v>
      </c>
      <c r="B204" s="618" t="s">
        <v>790</v>
      </c>
      <c r="C204" s="618" t="s">
        <v>814</v>
      </c>
      <c r="D204" s="631" t="s">
        <v>497</v>
      </c>
      <c r="E204" s="631" t="s">
        <v>792</v>
      </c>
      <c r="F204" s="628">
        <v>2.4380000000000002</v>
      </c>
      <c r="G204" s="628">
        <v>10.654</v>
      </c>
      <c r="H204" s="628"/>
      <c r="I204" s="626">
        <f t="shared" si="36"/>
        <v>15.193517999999999</v>
      </c>
      <c r="J204" s="628">
        <v>2</v>
      </c>
      <c r="K204" s="140">
        <f t="shared" si="28"/>
        <v>789.28660800427201</v>
      </c>
      <c r="L204" s="140">
        <f t="shared" si="29"/>
        <v>789.28660800427201</v>
      </c>
      <c r="M204" s="140">
        <f t="shared" si="30"/>
        <v>0</v>
      </c>
      <c r="N204" s="140">
        <f t="shared" si="31"/>
        <v>0</v>
      </c>
      <c r="O204" s="140">
        <f t="shared" si="32"/>
        <v>0</v>
      </c>
      <c r="P204" s="140">
        <f t="shared" si="33"/>
        <v>0</v>
      </c>
      <c r="Q204" s="156">
        <f t="shared" si="34"/>
        <v>31.003063253035361</v>
      </c>
      <c r="R204" s="125">
        <v>2.0405453992311302</v>
      </c>
      <c r="S204" s="73">
        <f t="shared" si="35"/>
        <v>1610.5751566378617</v>
      </c>
      <c r="T204" t="s">
        <v>793</v>
      </c>
    </row>
    <row r="205" spans="1:20">
      <c r="A205" s="618" t="s">
        <v>736</v>
      </c>
      <c r="B205" s="618" t="s">
        <v>790</v>
      </c>
      <c r="C205" s="618" t="s">
        <v>814</v>
      </c>
      <c r="D205" s="631" t="s">
        <v>497</v>
      </c>
      <c r="E205" s="631" t="s">
        <v>792</v>
      </c>
      <c r="F205" s="628">
        <v>2.4380000000000002</v>
      </c>
      <c r="G205" s="628">
        <v>4.0919999999999996</v>
      </c>
      <c r="H205" s="628"/>
      <c r="I205" s="626">
        <f t="shared" si="36"/>
        <v>15.193517999999999</v>
      </c>
      <c r="J205" s="628">
        <v>2</v>
      </c>
      <c r="K205" s="140">
        <f t="shared" si="28"/>
        <v>303.15006569865596</v>
      </c>
      <c r="L205" s="140">
        <f t="shared" si="29"/>
        <v>303.15006569865596</v>
      </c>
      <c r="M205" s="140">
        <f t="shared" si="30"/>
        <v>0</v>
      </c>
      <c r="N205" s="140">
        <f t="shared" si="31"/>
        <v>0</v>
      </c>
      <c r="O205" s="140">
        <f t="shared" si="32"/>
        <v>0</v>
      </c>
      <c r="P205" s="140">
        <f t="shared" si="33"/>
        <v>0</v>
      </c>
      <c r="Q205" s="156">
        <f t="shared" si="34"/>
        <v>31.003063253035361</v>
      </c>
      <c r="R205" s="125">
        <v>2.0405453992311302</v>
      </c>
      <c r="S205" s="73">
        <f t="shared" si="35"/>
        <v>618.59147183800724</v>
      </c>
      <c r="T205" t="s">
        <v>793</v>
      </c>
    </row>
    <row r="206" spans="1:20">
      <c r="A206" s="618" t="s">
        <v>736</v>
      </c>
      <c r="B206" s="618" t="s">
        <v>790</v>
      </c>
      <c r="C206" s="618" t="s">
        <v>814</v>
      </c>
      <c r="D206" s="631" t="s">
        <v>497</v>
      </c>
      <c r="E206" s="631" t="s">
        <v>792</v>
      </c>
      <c r="F206" s="628">
        <v>2.4380000000000002</v>
      </c>
      <c r="G206" s="628">
        <v>6.7140000000000004</v>
      </c>
      <c r="H206" s="628"/>
      <c r="I206" s="626">
        <f t="shared" si="36"/>
        <v>15.193517999999999</v>
      </c>
      <c r="J206" s="628">
        <v>2</v>
      </c>
      <c r="K206" s="140">
        <f t="shared" si="28"/>
        <v>497.39724855835203</v>
      </c>
      <c r="L206" s="140">
        <f t="shared" si="29"/>
        <v>497.39724855835203</v>
      </c>
      <c r="M206" s="140">
        <f t="shared" si="30"/>
        <v>0</v>
      </c>
      <c r="N206" s="140">
        <f t="shared" si="31"/>
        <v>0</v>
      </c>
      <c r="O206" s="140">
        <f t="shared" si="32"/>
        <v>0</v>
      </c>
      <c r="P206" s="140">
        <f t="shared" si="33"/>
        <v>0</v>
      </c>
      <c r="Q206" s="156">
        <f t="shared" si="34"/>
        <v>31.003063253035361</v>
      </c>
      <c r="R206" s="125">
        <v>2.0405453992311302</v>
      </c>
      <c r="S206" s="73">
        <f t="shared" si="35"/>
        <v>1014.9616671359681</v>
      </c>
      <c r="T206" t="s">
        <v>793</v>
      </c>
    </row>
    <row r="207" spans="1:20">
      <c r="A207" s="618" t="s">
        <v>736</v>
      </c>
      <c r="B207" s="618" t="s">
        <v>790</v>
      </c>
      <c r="C207" s="618" t="s">
        <v>814</v>
      </c>
      <c r="D207" s="631" t="s">
        <v>497</v>
      </c>
      <c r="E207" s="631" t="s">
        <v>792</v>
      </c>
      <c r="F207" s="628">
        <v>2.4380000000000002</v>
      </c>
      <c r="G207" s="628">
        <v>12.192</v>
      </c>
      <c r="H207" s="628"/>
      <c r="I207" s="626">
        <f t="shared" si="36"/>
        <v>15.193517999999999</v>
      </c>
      <c r="J207" s="628">
        <v>2</v>
      </c>
      <c r="K207" s="140">
        <f t="shared" si="28"/>
        <v>903.22717521945606</v>
      </c>
      <c r="L207" s="140">
        <f t="shared" si="29"/>
        <v>903.22717521945606</v>
      </c>
      <c r="M207" s="140">
        <f t="shared" si="30"/>
        <v>0</v>
      </c>
      <c r="N207" s="140">
        <f t="shared" si="31"/>
        <v>0</v>
      </c>
      <c r="O207" s="140">
        <f t="shared" si="32"/>
        <v>0</v>
      </c>
      <c r="P207" s="140">
        <f t="shared" si="33"/>
        <v>0</v>
      </c>
      <c r="Q207" s="156">
        <f t="shared" si="34"/>
        <v>31.003063253035361</v>
      </c>
      <c r="R207" s="125">
        <v>2.0405453992311302</v>
      </c>
      <c r="S207" s="73">
        <f t="shared" si="35"/>
        <v>1843.0760568545909</v>
      </c>
      <c r="T207" t="s">
        <v>793</v>
      </c>
    </row>
    <row r="208" spans="1:20">
      <c r="A208" s="618" t="s">
        <v>736</v>
      </c>
      <c r="B208" s="618" t="s">
        <v>790</v>
      </c>
      <c r="C208" s="618" t="s">
        <v>814</v>
      </c>
      <c r="D208" s="631" t="s">
        <v>497</v>
      </c>
      <c r="E208" s="631" t="s">
        <v>792</v>
      </c>
      <c r="F208" s="628">
        <v>2.4380000000000002</v>
      </c>
      <c r="G208" s="628">
        <v>12.192</v>
      </c>
      <c r="H208" s="628"/>
      <c r="I208" s="626">
        <f t="shared" si="36"/>
        <v>15.193517999999999</v>
      </c>
      <c r="J208" s="628">
        <v>2</v>
      </c>
      <c r="K208" s="140">
        <f t="shared" si="28"/>
        <v>903.22717521945606</v>
      </c>
      <c r="L208" s="140">
        <f t="shared" si="29"/>
        <v>903.22717521945606</v>
      </c>
      <c r="M208" s="140">
        <f t="shared" si="30"/>
        <v>0</v>
      </c>
      <c r="N208" s="140">
        <f t="shared" si="31"/>
        <v>0</v>
      </c>
      <c r="O208" s="140">
        <f t="shared" si="32"/>
        <v>0</v>
      </c>
      <c r="P208" s="140">
        <f t="shared" si="33"/>
        <v>0</v>
      </c>
      <c r="Q208" s="156">
        <f t="shared" si="34"/>
        <v>31.003063253035361</v>
      </c>
      <c r="R208" s="125">
        <v>2.0405453992311302</v>
      </c>
      <c r="S208" s="73">
        <f t="shared" si="35"/>
        <v>1843.0760568545909</v>
      </c>
      <c r="T208" t="s">
        <v>793</v>
      </c>
    </row>
    <row r="209" spans="1:20">
      <c r="A209" s="618" t="s">
        <v>736</v>
      </c>
      <c r="B209" s="618" t="s">
        <v>790</v>
      </c>
      <c r="C209" s="618" t="s">
        <v>814</v>
      </c>
      <c r="D209" s="631" t="s">
        <v>497</v>
      </c>
      <c r="E209" s="631" t="s">
        <v>792</v>
      </c>
      <c r="F209" s="628">
        <v>2.4380000000000002</v>
      </c>
      <c r="G209" s="628">
        <v>10.019</v>
      </c>
      <c r="H209" s="628"/>
      <c r="I209" s="626">
        <f t="shared" si="36"/>
        <v>15.193517999999999</v>
      </c>
      <c r="J209" s="628">
        <v>2</v>
      </c>
      <c r="K209" s="140">
        <f t="shared" si="28"/>
        <v>742.24352596159201</v>
      </c>
      <c r="L209" s="140">
        <f t="shared" si="29"/>
        <v>742.24352596159201</v>
      </c>
      <c r="M209" s="140">
        <f t="shared" si="30"/>
        <v>0</v>
      </c>
      <c r="N209" s="140">
        <f t="shared" si="31"/>
        <v>0</v>
      </c>
      <c r="O209" s="140">
        <f t="shared" si="32"/>
        <v>0</v>
      </c>
      <c r="P209" s="140">
        <f t="shared" si="33"/>
        <v>0</v>
      </c>
      <c r="Q209" s="156">
        <f t="shared" si="34"/>
        <v>31.003063253035361</v>
      </c>
      <c r="R209" s="125">
        <v>2.0405453992311302</v>
      </c>
      <c r="S209" s="73">
        <f t="shared" si="35"/>
        <v>1514.5816120100185</v>
      </c>
      <c r="T209" t="s">
        <v>793</v>
      </c>
    </row>
    <row r="210" spans="1:20">
      <c r="A210" s="618" t="s">
        <v>736</v>
      </c>
      <c r="B210" s="618" t="s">
        <v>790</v>
      </c>
      <c r="C210" s="618" t="s">
        <v>814</v>
      </c>
      <c r="D210" s="631" t="s">
        <v>497</v>
      </c>
      <c r="E210" s="631" t="s">
        <v>792</v>
      </c>
      <c r="F210" s="628">
        <v>2.4340000000000002</v>
      </c>
      <c r="G210" s="628">
        <v>6.1360000000000001</v>
      </c>
      <c r="H210" s="628"/>
      <c r="I210" s="626">
        <f t="shared" si="36"/>
        <v>15.193517999999999</v>
      </c>
      <c r="J210" s="628">
        <v>2</v>
      </c>
      <c r="K210" s="140">
        <f t="shared" si="28"/>
        <v>453.83111194886402</v>
      </c>
      <c r="L210" s="140">
        <f t="shared" si="29"/>
        <v>453.83111194886402</v>
      </c>
      <c r="M210" s="140">
        <f t="shared" si="30"/>
        <v>0</v>
      </c>
      <c r="N210" s="140">
        <f t="shared" si="31"/>
        <v>0</v>
      </c>
      <c r="O210" s="140">
        <f t="shared" si="32"/>
        <v>0</v>
      </c>
      <c r="P210" s="140">
        <f t="shared" si="33"/>
        <v>0</v>
      </c>
      <c r="Q210" s="156">
        <f t="shared" si="34"/>
        <v>31.003063253035361</v>
      </c>
      <c r="R210" s="125">
        <v>2.0405453992311302</v>
      </c>
      <c r="S210" s="73">
        <f t="shared" si="35"/>
        <v>926.06298751520251</v>
      </c>
      <c r="T210" t="s">
        <v>793</v>
      </c>
    </row>
    <row r="211" spans="1:20">
      <c r="A211" s="618" t="s">
        <v>736</v>
      </c>
      <c r="B211" s="618" t="s">
        <v>790</v>
      </c>
      <c r="C211" s="618" t="s">
        <v>814</v>
      </c>
      <c r="D211" s="631" t="s">
        <v>497</v>
      </c>
      <c r="E211" s="631" t="s">
        <v>792</v>
      </c>
      <c r="F211" s="628">
        <v>2.4380000000000002</v>
      </c>
      <c r="G211" s="628">
        <v>12.192</v>
      </c>
      <c r="H211" s="628"/>
      <c r="I211" s="626">
        <f t="shared" si="36"/>
        <v>15.193517999999999</v>
      </c>
      <c r="J211" s="628">
        <v>2</v>
      </c>
      <c r="K211" s="140">
        <f t="shared" si="28"/>
        <v>903.22717521945606</v>
      </c>
      <c r="L211" s="140">
        <f t="shared" si="29"/>
        <v>903.22717521945606</v>
      </c>
      <c r="M211" s="140">
        <f t="shared" si="30"/>
        <v>0</v>
      </c>
      <c r="N211" s="140">
        <f t="shared" si="31"/>
        <v>0</v>
      </c>
      <c r="O211" s="140">
        <f t="shared" si="32"/>
        <v>0</v>
      </c>
      <c r="P211" s="140">
        <f t="shared" si="33"/>
        <v>0</v>
      </c>
      <c r="Q211" s="156">
        <f t="shared" si="34"/>
        <v>31.003063253035361</v>
      </c>
      <c r="R211" s="125">
        <v>2.0405453992311302</v>
      </c>
      <c r="S211" s="73">
        <f t="shared" si="35"/>
        <v>1843.0760568545909</v>
      </c>
      <c r="T211" t="s">
        <v>793</v>
      </c>
    </row>
    <row r="212" spans="1:20">
      <c r="A212" s="618" t="s">
        <v>736</v>
      </c>
      <c r="B212" s="618" t="s">
        <v>790</v>
      </c>
      <c r="C212" s="618" t="s">
        <v>814</v>
      </c>
      <c r="D212" s="631" t="s">
        <v>497</v>
      </c>
      <c r="E212" s="631" t="s">
        <v>792</v>
      </c>
      <c r="F212" s="628">
        <v>2.4380000000000002</v>
      </c>
      <c r="G212" s="628">
        <v>12.192</v>
      </c>
      <c r="H212" s="628"/>
      <c r="I212" s="626">
        <f t="shared" si="36"/>
        <v>15.193517999999999</v>
      </c>
      <c r="J212" s="628">
        <v>2</v>
      </c>
      <c r="K212" s="140">
        <f t="shared" si="28"/>
        <v>903.22717521945606</v>
      </c>
      <c r="L212" s="140">
        <f t="shared" si="29"/>
        <v>903.22717521945606</v>
      </c>
      <c r="M212" s="140">
        <f t="shared" si="30"/>
        <v>0</v>
      </c>
      <c r="N212" s="140">
        <f t="shared" si="31"/>
        <v>0</v>
      </c>
      <c r="O212" s="140">
        <f t="shared" si="32"/>
        <v>0</v>
      </c>
      <c r="P212" s="140">
        <f t="shared" si="33"/>
        <v>0</v>
      </c>
      <c r="Q212" s="156">
        <f t="shared" si="34"/>
        <v>31.003063253035361</v>
      </c>
      <c r="R212" s="125">
        <v>2.0405453992311302</v>
      </c>
      <c r="S212" s="73">
        <f t="shared" si="35"/>
        <v>1843.0760568545909</v>
      </c>
      <c r="T212" t="s">
        <v>793</v>
      </c>
    </row>
    <row r="213" spans="1:20">
      <c r="A213" s="618" t="s">
        <v>736</v>
      </c>
      <c r="B213" s="618" t="s">
        <v>790</v>
      </c>
      <c r="C213" s="618" t="s">
        <v>814</v>
      </c>
      <c r="D213" s="631" t="s">
        <v>497</v>
      </c>
      <c r="E213" s="631" t="s">
        <v>792</v>
      </c>
      <c r="F213" s="628">
        <v>2.4380000000000002</v>
      </c>
      <c r="G213" s="628">
        <v>2.544</v>
      </c>
      <c r="H213" s="628"/>
      <c r="I213" s="626">
        <f t="shared" si="36"/>
        <v>15.193517999999999</v>
      </c>
      <c r="J213" s="628">
        <v>2</v>
      </c>
      <c r="K213" s="140">
        <f t="shared" si="28"/>
        <v>188.468662545792</v>
      </c>
      <c r="L213" s="140">
        <f t="shared" si="29"/>
        <v>188.468662545792</v>
      </c>
      <c r="M213" s="140">
        <f t="shared" si="30"/>
        <v>0</v>
      </c>
      <c r="N213" s="140">
        <f t="shared" si="31"/>
        <v>0</v>
      </c>
      <c r="O213" s="140">
        <f t="shared" si="32"/>
        <v>0</v>
      </c>
      <c r="P213" s="140">
        <f t="shared" si="33"/>
        <v>0</v>
      </c>
      <c r="Q213" s="156">
        <f t="shared" si="34"/>
        <v>31.003063253035361</v>
      </c>
      <c r="R213" s="125">
        <v>2.0405453992311302</v>
      </c>
      <c r="S213" s="73">
        <f t="shared" si="35"/>
        <v>384.57886225706028</v>
      </c>
      <c r="T213" t="s">
        <v>793</v>
      </c>
    </row>
    <row r="214" spans="1:20">
      <c r="A214" s="618" t="s">
        <v>736</v>
      </c>
      <c r="B214" s="618" t="s">
        <v>790</v>
      </c>
      <c r="C214" s="618" t="s">
        <v>814</v>
      </c>
      <c r="D214" s="631" t="s">
        <v>497</v>
      </c>
      <c r="E214" s="631" t="s">
        <v>792</v>
      </c>
      <c r="F214" s="628">
        <v>2.4380000000000002</v>
      </c>
      <c r="G214" s="628">
        <v>4.0780000000000003</v>
      </c>
      <c r="H214" s="628"/>
      <c r="I214" s="626">
        <f t="shared" si="36"/>
        <v>15.193517999999999</v>
      </c>
      <c r="J214" s="628">
        <v>2</v>
      </c>
      <c r="K214" s="140">
        <f t="shared" si="28"/>
        <v>302.11289538590404</v>
      </c>
      <c r="L214" s="140">
        <f t="shared" si="29"/>
        <v>302.11289538590404</v>
      </c>
      <c r="M214" s="140">
        <f t="shared" si="30"/>
        <v>0</v>
      </c>
      <c r="N214" s="140">
        <f t="shared" si="31"/>
        <v>0</v>
      </c>
      <c r="O214" s="140">
        <f t="shared" si="32"/>
        <v>0</v>
      </c>
      <c r="P214" s="140">
        <f t="shared" si="33"/>
        <v>0</v>
      </c>
      <c r="Q214" s="156">
        <f t="shared" si="34"/>
        <v>31.003063253035361</v>
      </c>
      <c r="R214" s="125">
        <v>2.0405453992311302</v>
      </c>
      <c r="S214" s="73">
        <f t="shared" si="35"/>
        <v>616.47507872810229</v>
      </c>
      <c r="T214" t="s">
        <v>793</v>
      </c>
    </row>
    <row r="215" spans="1:20">
      <c r="A215" s="618" t="s">
        <v>736</v>
      </c>
      <c r="B215" s="618" t="s">
        <v>790</v>
      </c>
      <c r="C215" s="618" t="s">
        <v>814</v>
      </c>
      <c r="D215" s="631" t="s">
        <v>497</v>
      </c>
      <c r="E215" s="631" t="s">
        <v>792</v>
      </c>
      <c r="F215" s="628">
        <v>2.4380000000000002</v>
      </c>
      <c r="G215" s="628">
        <v>12.192</v>
      </c>
      <c r="H215" s="628"/>
      <c r="I215" s="626">
        <f t="shared" si="36"/>
        <v>15.193517999999999</v>
      </c>
      <c r="J215" s="628">
        <v>2</v>
      </c>
      <c r="K215" s="140">
        <f t="shared" si="28"/>
        <v>903.22717521945606</v>
      </c>
      <c r="L215" s="140">
        <f t="shared" si="29"/>
        <v>903.22717521945606</v>
      </c>
      <c r="M215" s="140">
        <f t="shared" si="30"/>
        <v>0</v>
      </c>
      <c r="N215" s="140">
        <f t="shared" si="31"/>
        <v>0</v>
      </c>
      <c r="O215" s="140">
        <f t="shared" si="32"/>
        <v>0</v>
      </c>
      <c r="P215" s="140">
        <f t="shared" si="33"/>
        <v>0</v>
      </c>
      <c r="Q215" s="156">
        <f t="shared" si="34"/>
        <v>31.003063253035361</v>
      </c>
      <c r="R215" s="125">
        <v>2.0405453992311302</v>
      </c>
      <c r="S215" s="73">
        <f t="shared" si="35"/>
        <v>1843.0760568545909</v>
      </c>
      <c r="T215" t="s">
        <v>793</v>
      </c>
    </row>
    <row r="216" spans="1:20">
      <c r="A216" s="618" t="s">
        <v>736</v>
      </c>
      <c r="B216" s="618" t="s">
        <v>790</v>
      </c>
      <c r="C216" s="618" t="s">
        <v>814</v>
      </c>
      <c r="D216" s="631" t="s">
        <v>497</v>
      </c>
      <c r="E216" s="631" t="s">
        <v>792</v>
      </c>
      <c r="F216" s="628">
        <v>2.4380000000000002</v>
      </c>
      <c r="G216" s="628">
        <v>12.192</v>
      </c>
      <c r="H216" s="628"/>
      <c r="I216" s="626">
        <f t="shared" si="36"/>
        <v>15.193517999999999</v>
      </c>
      <c r="J216" s="628">
        <v>2</v>
      </c>
      <c r="K216" s="140">
        <f t="shared" si="28"/>
        <v>903.22717521945606</v>
      </c>
      <c r="L216" s="140">
        <f t="shared" si="29"/>
        <v>903.22717521945606</v>
      </c>
      <c r="M216" s="140">
        <f t="shared" si="30"/>
        <v>0</v>
      </c>
      <c r="N216" s="140">
        <f t="shared" si="31"/>
        <v>0</v>
      </c>
      <c r="O216" s="140">
        <f t="shared" si="32"/>
        <v>0</v>
      </c>
      <c r="P216" s="140">
        <f t="shared" si="33"/>
        <v>0</v>
      </c>
      <c r="Q216" s="156">
        <f t="shared" si="34"/>
        <v>31.003063253035361</v>
      </c>
      <c r="R216" s="125">
        <v>2.0405453992311302</v>
      </c>
      <c r="S216" s="73">
        <f t="shared" si="35"/>
        <v>1843.0760568545909</v>
      </c>
      <c r="T216" t="s">
        <v>793</v>
      </c>
    </row>
    <row r="217" spans="1:20">
      <c r="A217" s="618" t="s">
        <v>736</v>
      </c>
      <c r="B217" s="618" t="s">
        <v>790</v>
      </c>
      <c r="C217" s="618" t="s">
        <v>814</v>
      </c>
      <c r="D217" s="631" t="s">
        <v>497</v>
      </c>
      <c r="E217" s="631" t="s">
        <v>792</v>
      </c>
      <c r="F217" s="628">
        <v>2.4380000000000002</v>
      </c>
      <c r="G217" s="628">
        <v>5.1459999999999999</v>
      </c>
      <c r="H217" s="628"/>
      <c r="I217" s="626">
        <f t="shared" si="36"/>
        <v>15.193517999999999</v>
      </c>
      <c r="J217" s="628">
        <v>2</v>
      </c>
      <c r="K217" s="140">
        <f t="shared" si="28"/>
        <v>381.23417353012803</v>
      </c>
      <c r="L217" s="140">
        <f t="shared" si="29"/>
        <v>381.23417353012803</v>
      </c>
      <c r="M217" s="140">
        <f t="shared" si="30"/>
        <v>0</v>
      </c>
      <c r="N217" s="140">
        <f t="shared" si="31"/>
        <v>0</v>
      </c>
      <c r="O217" s="140">
        <f t="shared" si="32"/>
        <v>0</v>
      </c>
      <c r="P217" s="140">
        <f t="shared" si="33"/>
        <v>0</v>
      </c>
      <c r="Q217" s="156">
        <f t="shared" si="34"/>
        <v>31.003063253035361</v>
      </c>
      <c r="R217" s="125">
        <v>2.0405453992311302</v>
      </c>
      <c r="S217" s="73">
        <f t="shared" si="35"/>
        <v>777.9256388265851</v>
      </c>
      <c r="T217" t="s">
        <v>793</v>
      </c>
    </row>
    <row r="218" spans="1:20">
      <c r="A218" s="618" t="s">
        <v>736</v>
      </c>
      <c r="B218" s="618" t="s">
        <v>790</v>
      </c>
      <c r="C218" s="618" t="s">
        <v>814</v>
      </c>
      <c r="D218" s="631" t="s">
        <v>497</v>
      </c>
      <c r="E218" s="631" t="s">
        <v>792</v>
      </c>
      <c r="F218" s="628">
        <v>2.4380000000000002</v>
      </c>
      <c r="G218" s="628">
        <v>5.774</v>
      </c>
      <c r="H218" s="628"/>
      <c r="I218" s="626">
        <f t="shared" si="36"/>
        <v>15.193517999999999</v>
      </c>
      <c r="J218" s="628">
        <v>2</v>
      </c>
      <c r="K218" s="140">
        <f t="shared" si="28"/>
        <v>427.75867041643204</v>
      </c>
      <c r="L218" s="140">
        <f t="shared" si="29"/>
        <v>427.75867041643204</v>
      </c>
      <c r="M218" s="140">
        <f t="shared" si="30"/>
        <v>0</v>
      </c>
      <c r="N218" s="140">
        <f t="shared" si="31"/>
        <v>0</v>
      </c>
      <c r="O218" s="140">
        <f t="shared" si="32"/>
        <v>0</v>
      </c>
      <c r="P218" s="140">
        <f t="shared" si="33"/>
        <v>0</v>
      </c>
      <c r="Q218" s="156">
        <f t="shared" si="34"/>
        <v>31.003063253035361</v>
      </c>
      <c r="R218" s="125">
        <v>2.0405453992311302</v>
      </c>
      <c r="S218" s="73">
        <f t="shared" si="35"/>
        <v>872.86098689947573</v>
      </c>
      <c r="T218" t="s">
        <v>793</v>
      </c>
    </row>
    <row r="219" spans="1:20">
      <c r="A219" s="618" t="s">
        <v>736</v>
      </c>
      <c r="B219" s="618" t="s">
        <v>790</v>
      </c>
      <c r="C219" s="618" t="s">
        <v>814</v>
      </c>
      <c r="D219" s="631" t="s">
        <v>497</v>
      </c>
      <c r="E219" s="631" t="s">
        <v>792</v>
      </c>
      <c r="F219" s="628">
        <v>2.4380000000000002</v>
      </c>
      <c r="G219" s="628">
        <v>12.192</v>
      </c>
      <c r="H219" s="628"/>
      <c r="I219" s="626">
        <f t="shared" si="36"/>
        <v>15.193517999999999</v>
      </c>
      <c r="J219" s="628">
        <v>2</v>
      </c>
      <c r="K219" s="140">
        <f t="shared" si="28"/>
        <v>903.22717521945606</v>
      </c>
      <c r="L219" s="140">
        <f t="shared" si="29"/>
        <v>903.22717521945606</v>
      </c>
      <c r="M219" s="140">
        <f t="shared" si="30"/>
        <v>0</v>
      </c>
      <c r="N219" s="140">
        <f t="shared" si="31"/>
        <v>0</v>
      </c>
      <c r="O219" s="140">
        <f t="shared" si="32"/>
        <v>0</v>
      </c>
      <c r="P219" s="140">
        <f t="shared" si="33"/>
        <v>0</v>
      </c>
      <c r="Q219" s="156">
        <f t="shared" si="34"/>
        <v>31.003063253035361</v>
      </c>
      <c r="R219" s="125">
        <v>2.0405453992311302</v>
      </c>
      <c r="S219" s="73">
        <f t="shared" si="35"/>
        <v>1843.0760568545909</v>
      </c>
      <c r="T219" t="s">
        <v>793</v>
      </c>
    </row>
    <row r="220" spans="1:20">
      <c r="A220" s="618" t="s">
        <v>736</v>
      </c>
      <c r="B220" s="618" t="s">
        <v>790</v>
      </c>
      <c r="C220" s="618" t="s">
        <v>814</v>
      </c>
      <c r="D220" s="631" t="s">
        <v>497</v>
      </c>
      <c r="E220" s="631" t="s">
        <v>792</v>
      </c>
      <c r="F220" s="628">
        <v>2.4380000000000002</v>
      </c>
      <c r="G220" s="628">
        <v>12.192</v>
      </c>
      <c r="H220" s="628"/>
      <c r="I220" s="626">
        <f t="shared" si="36"/>
        <v>15.193517999999999</v>
      </c>
      <c r="J220" s="628">
        <v>2</v>
      </c>
      <c r="K220" s="140">
        <f t="shared" si="28"/>
        <v>903.22717521945606</v>
      </c>
      <c r="L220" s="140">
        <f t="shared" si="29"/>
        <v>903.22717521945606</v>
      </c>
      <c r="M220" s="140">
        <f t="shared" si="30"/>
        <v>0</v>
      </c>
      <c r="N220" s="140">
        <f t="shared" si="31"/>
        <v>0</v>
      </c>
      <c r="O220" s="140">
        <f t="shared" si="32"/>
        <v>0</v>
      </c>
      <c r="P220" s="140">
        <f t="shared" si="33"/>
        <v>0</v>
      </c>
      <c r="Q220" s="156">
        <f t="shared" si="34"/>
        <v>31.003063253035361</v>
      </c>
      <c r="R220" s="125">
        <v>2.0405453992311302</v>
      </c>
      <c r="S220" s="73">
        <f t="shared" si="35"/>
        <v>1843.0760568545909</v>
      </c>
      <c r="T220" t="s">
        <v>793</v>
      </c>
    </row>
    <row r="221" spans="1:20">
      <c r="A221" s="618" t="s">
        <v>736</v>
      </c>
      <c r="B221" s="618" t="s">
        <v>790</v>
      </c>
      <c r="C221" s="618" t="s">
        <v>814</v>
      </c>
      <c r="D221" s="631" t="s">
        <v>497</v>
      </c>
      <c r="E221" s="631" t="s">
        <v>792</v>
      </c>
      <c r="F221" s="628">
        <v>2.4380000000000002</v>
      </c>
      <c r="G221" s="628">
        <v>5.08</v>
      </c>
      <c r="H221" s="628"/>
      <c r="I221" s="626">
        <f t="shared" si="36"/>
        <v>15.193517999999999</v>
      </c>
      <c r="J221" s="628">
        <v>2</v>
      </c>
      <c r="K221" s="140">
        <f t="shared" si="28"/>
        <v>376.34465634144004</v>
      </c>
      <c r="L221" s="140">
        <f t="shared" si="29"/>
        <v>376.34465634144004</v>
      </c>
      <c r="M221" s="140">
        <f t="shared" si="30"/>
        <v>0</v>
      </c>
      <c r="N221" s="140">
        <f t="shared" si="31"/>
        <v>0</v>
      </c>
      <c r="O221" s="140">
        <f t="shared" si="32"/>
        <v>0</v>
      </c>
      <c r="P221" s="140">
        <f t="shared" si="33"/>
        <v>0</v>
      </c>
      <c r="Q221" s="156">
        <f t="shared" si="34"/>
        <v>31.003063253035361</v>
      </c>
      <c r="R221" s="125">
        <v>2.0405453992311302</v>
      </c>
      <c r="S221" s="73">
        <f t="shared" si="35"/>
        <v>767.94835702274622</v>
      </c>
      <c r="T221" t="s">
        <v>793</v>
      </c>
    </row>
    <row r="222" spans="1:20">
      <c r="A222" s="618" t="s">
        <v>736</v>
      </c>
      <c r="B222" s="618" t="s">
        <v>790</v>
      </c>
      <c r="C222" s="618" t="s">
        <v>814</v>
      </c>
      <c r="D222" s="631" t="s">
        <v>497</v>
      </c>
      <c r="E222" s="631" t="s">
        <v>792</v>
      </c>
      <c r="F222" s="628">
        <v>2.4380000000000002</v>
      </c>
      <c r="G222" s="628">
        <v>12.192</v>
      </c>
      <c r="H222" s="628"/>
      <c r="I222" s="626">
        <f t="shared" si="36"/>
        <v>15.193517999999999</v>
      </c>
      <c r="J222" s="628">
        <v>46</v>
      </c>
      <c r="K222" s="140">
        <f t="shared" si="28"/>
        <v>20774.225030047488</v>
      </c>
      <c r="L222" s="140">
        <f t="shared" si="29"/>
        <v>20774.225030047488</v>
      </c>
      <c r="M222" s="140">
        <f t="shared" si="30"/>
        <v>0</v>
      </c>
      <c r="N222" s="140">
        <f t="shared" si="31"/>
        <v>0</v>
      </c>
      <c r="O222" s="140">
        <f t="shared" si="32"/>
        <v>0</v>
      </c>
      <c r="P222" s="140">
        <f t="shared" si="33"/>
        <v>0</v>
      </c>
      <c r="Q222" s="156">
        <f t="shared" si="34"/>
        <v>31.003063253035361</v>
      </c>
      <c r="R222" s="125">
        <v>2.0405453992311302</v>
      </c>
      <c r="S222" s="73">
        <f t="shared" si="35"/>
        <v>42390.749307655591</v>
      </c>
      <c r="T222" t="s">
        <v>793</v>
      </c>
    </row>
    <row r="223" spans="1:20">
      <c r="A223" s="618" t="s">
        <v>737</v>
      </c>
      <c r="B223" s="618" t="s">
        <v>797</v>
      </c>
      <c r="C223" s="618" t="s">
        <v>851</v>
      </c>
      <c r="D223" s="631" t="s">
        <v>513</v>
      </c>
      <c r="E223" s="631" t="s">
        <v>799</v>
      </c>
      <c r="F223" s="628"/>
      <c r="G223" s="628"/>
      <c r="H223" s="628"/>
      <c r="I223" s="626">
        <v>0.1</v>
      </c>
      <c r="J223" s="629">
        <v>1464</v>
      </c>
      <c r="K223" s="140">
        <f t="shared" si="28"/>
        <v>146.4</v>
      </c>
      <c r="L223" s="140">
        <f t="shared" si="29"/>
        <v>0</v>
      </c>
      <c r="M223" s="140">
        <f t="shared" si="30"/>
        <v>0</v>
      </c>
      <c r="N223" s="140">
        <f t="shared" si="31"/>
        <v>0</v>
      </c>
      <c r="O223" s="140">
        <f t="shared" si="32"/>
        <v>0</v>
      </c>
      <c r="P223" s="140">
        <f t="shared" si="33"/>
        <v>146.4</v>
      </c>
      <c r="Q223" s="156">
        <f t="shared" si="34"/>
        <v>0.21886495007882301</v>
      </c>
      <c r="R223" s="125">
        <v>2.1886495007882298</v>
      </c>
      <c r="S223" s="73">
        <f t="shared" si="35"/>
        <v>320.41828691539683</v>
      </c>
      <c r="T223" t="s">
        <v>800</v>
      </c>
    </row>
    <row r="224" spans="1:20">
      <c r="A224" s="618" t="s">
        <v>737</v>
      </c>
      <c r="B224" s="618" t="s">
        <v>794</v>
      </c>
      <c r="C224" s="618" t="s">
        <v>852</v>
      </c>
      <c r="D224" s="631" t="s">
        <v>513</v>
      </c>
      <c r="E224" s="631" t="s">
        <v>799</v>
      </c>
      <c r="F224" s="628"/>
      <c r="G224" s="628">
        <v>1.085</v>
      </c>
      <c r="H224" s="628"/>
      <c r="I224" s="626">
        <f>1.5*0.0254*7850*0.0254</f>
        <v>7.5967589999999996</v>
      </c>
      <c r="J224" s="629">
        <v>14</v>
      </c>
      <c r="K224" s="140">
        <f t="shared" si="28"/>
        <v>115.39476920999999</v>
      </c>
      <c r="L224" s="140">
        <f t="shared" si="29"/>
        <v>0</v>
      </c>
      <c r="M224" s="140">
        <f t="shared" si="30"/>
        <v>0</v>
      </c>
      <c r="N224" s="140">
        <f t="shared" si="31"/>
        <v>0</v>
      </c>
      <c r="O224" s="140">
        <f t="shared" si="32"/>
        <v>115.39476920999999</v>
      </c>
      <c r="P224" s="140">
        <f t="shared" si="33"/>
        <v>0</v>
      </c>
      <c r="Q224" s="156">
        <f t="shared" si="34"/>
        <v>16.626642792958492</v>
      </c>
      <c r="R224" s="125">
        <v>2.1886495007882298</v>
      </c>
      <c r="S224" s="73">
        <f t="shared" si="35"/>
        <v>252.55870402503948</v>
      </c>
      <c r="T224" t="s">
        <v>793</v>
      </c>
    </row>
    <row r="225" spans="1:20">
      <c r="A225" s="618" t="s">
        <v>737</v>
      </c>
      <c r="B225" s="618" t="s">
        <v>794</v>
      </c>
      <c r="C225" s="618" t="s">
        <v>853</v>
      </c>
      <c r="D225" s="631" t="s">
        <v>513</v>
      </c>
      <c r="E225" s="631" t="s">
        <v>799</v>
      </c>
      <c r="F225" s="628"/>
      <c r="G225" s="628">
        <v>7.5999999999999998E-2</v>
      </c>
      <c r="H225" s="628"/>
      <c r="I225" s="626">
        <f>8*0.0254*7850*3*0.0254/8</f>
        <v>15.193517999999999</v>
      </c>
      <c r="J225" s="629">
        <v>4</v>
      </c>
      <c r="K225" s="140">
        <f t="shared" si="28"/>
        <v>4.6188294719999998</v>
      </c>
      <c r="L225" s="140">
        <f t="shared" si="29"/>
        <v>0</v>
      </c>
      <c r="M225" s="140">
        <f t="shared" si="30"/>
        <v>0</v>
      </c>
      <c r="N225" s="140">
        <f t="shared" si="31"/>
        <v>0</v>
      </c>
      <c r="O225" s="140">
        <f t="shared" si="32"/>
        <v>4.6188294719999998</v>
      </c>
      <c r="P225" s="140">
        <f t="shared" si="33"/>
        <v>0</v>
      </c>
      <c r="Q225" s="156">
        <f t="shared" si="34"/>
        <v>33.253285585916984</v>
      </c>
      <c r="R225" s="125">
        <v>2.1886495007882298</v>
      </c>
      <c r="S225" s="73">
        <f t="shared" si="35"/>
        <v>10.108998818118764</v>
      </c>
      <c r="T225" t="s">
        <v>793</v>
      </c>
    </row>
    <row r="226" spans="1:20">
      <c r="A226" s="618" t="s">
        <v>737</v>
      </c>
      <c r="B226" s="618" t="s">
        <v>790</v>
      </c>
      <c r="C226" s="618" t="s">
        <v>814</v>
      </c>
      <c r="D226" s="631" t="s">
        <v>497</v>
      </c>
      <c r="E226" s="631" t="s">
        <v>792</v>
      </c>
      <c r="F226" s="628">
        <v>0.10199999999999999</v>
      </c>
      <c r="G226" s="628">
        <v>0.10199999999999999</v>
      </c>
      <c r="H226" s="628"/>
      <c r="I226" s="626">
        <f>8*0.0254*7850*3*0.0254/8</f>
        <v>15.193517999999999</v>
      </c>
      <c r="J226" s="629">
        <v>4</v>
      </c>
      <c r="K226" s="140">
        <f t="shared" si="28"/>
        <v>0.63229344508799989</v>
      </c>
      <c r="L226" s="140">
        <f t="shared" si="29"/>
        <v>0.63229344508799989</v>
      </c>
      <c r="M226" s="140">
        <f t="shared" si="30"/>
        <v>0</v>
      </c>
      <c r="N226" s="140">
        <f t="shared" si="31"/>
        <v>0</v>
      </c>
      <c r="O226" s="140">
        <f t="shared" si="32"/>
        <v>0</v>
      </c>
      <c r="P226" s="140">
        <f t="shared" si="33"/>
        <v>0</v>
      </c>
      <c r="Q226" s="156">
        <f t="shared" si="34"/>
        <v>31.003063253035361</v>
      </c>
      <c r="R226" s="125">
        <v>2.0405453992311302</v>
      </c>
      <c r="S226" s="73">
        <f t="shared" si="35"/>
        <v>1.2902234803383195</v>
      </c>
      <c r="T226" t="s">
        <v>793</v>
      </c>
    </row>
    <row r="227" spans="1:20">
      <c r="A227" s="618" t="s">
        <v>737</v>
      </c>
      <c r="B227" s="618" t="s">
        <v>794</v>
      </c>
      <c r="C227" s="618" t="s">
        <v>812</v>
      </c>
      <c r="D227" s="631" t="s">
        <v>513</v>
      </c>
      <c r="E227" s="631" t="s">
        <v>799</v>
      </c>
      <c r="F227" s="628"/>
      <c r="G227" s="628">
        <v>2.6819999999999999</v>
      </c>
      <c r="H227" s="628"/>
      <c r="I227" s="626">
        <f>8.2*0.454/0.3048</f>
        <v>12.213910761154855</v>
      </c>
      <c r="J227" s="629">
        <v>6</v>
      </c>
      <c r="K227" s="140">
        <f t="shared" si="28"/>
        <v>196.5462519685039</v>
      </c>
      <c r="L227" s="140">
        <f t="shared" si="29"/>
        <v>0</v>
      </c>
      <c r="M227" s="140">
        <f t="shared" si="30"/>
        <v>0</v>
      </c>
      <c r="N227" s="140">
        <f t="shared" si="31"/>
        <v>0</v>
      </c>
      <c r="O227" s="140">
        <f t="shared" si="32"/>
        <v>196.5462519685039</v>
      </c>
      <c r="P227" s="140">
        <f t="shared" si="33"/>
        <v>0</v>
      </c>
      <c r="Q227" s="156">
        <f t="shared" si="34"/>
        <v>26.731969690073562</v>
      </c>
      <c r="R227" s="157">
        <v>2.1886495007882298</v>
      </c>
      <c r="S227" s="73">
        <f t="shared" si="35"/>
        <v>430.17085625266367</v>
      </c>
      <c r="T227" t="s">
        <v>793</v>
      </c>
    </row>
    <row r="228" spans="1:20">
      <c r="A228" s="618" t="s">
        <v>737</v>
      </c>
      <c r="B228" s="618" t="s">
        <v>794</v>
      </c>
      <c r="C228" s="618" t="s">
        <v>812</v>
      </c>
      <c r="D228" s="631" t="s">
        <v>513</v>
      </c>
      <c r="E228" s="631" t="s">
        <v>799</v>
      </c>
      <c r="F228" s="628"/>
      <c r="G228" s="628">
        <v>5.9029999999999996</v>
      </c>
      <c r="H228" s="628"/>
      <c r="I228" s="626">
        <f>8.2*0.454/0.3048</f>
        <v>12.213910761154855</v>
      </c>
      <c r="J228" s="629">
        <v>162</v>
      </c>
      <c r="K228" s="140">
        <f t="shared" si="28"/>
        <v>11679.99186614173</v>
      </c>
      <c r="L228" s="140">
        <f t="shared" si="29"/>
        <v>0</v>
      </c>
      <c r="M228" s="140">
        <f t="shared" si="30"/>
        <v>0</v>
      </c>
      <c r="N228" s="140">
        <f t="shared" si="31"/>
        <v>0</v>
      </c>
      <c r="O228" s="140">
        <f t="shared" si="32"/>
        <v>11679.99186614173</v>
      </c>
      <c r="P228" s="140">
        <f t="shared" si="33"/>
        <v>0</v>
      </c>
      <c r="Q228" s="156">
        <f t="shared" si="34"/>
        <v>26.731969690073562</v>
      </c>
      <c r="R228" s="157">
        <v>2.1886495007882298</v>
      </c>
      <c r="S228" s="73">
        <f t="shared" si="35"/>
        <v>25563.408367041684</v>
      </c>
      <c r="T228" t="s">
        <v>793</v>
      </c>
    </row>
    <row r="229" spans="1:20">
      <c r="A229" s="618" t="s">
        <v>737</v>
      </c>
      <c r="B229" s="618" t="s">
        <v>790</v>
      </c>
      <c r="C229" s="618" t="s">
        <v>854</v>
      </c>
      <c r="D229" s="631" t="s">
        <v>497</v>
      </c>
      <c r="E229" s="631" t="s">
        <v>792</v>
      </c>
      <c r="F229" s="628">
        <v>0.2</v>
      </c>
      <c r="G229" s="628">
        <v>0.25</v>
      </c>
      <c r="H229" s="628"/>
      <c r="I229" s="626">
        <f t="shared" ref="I229:I254" si="37">8*0.0254*7850*3*0.0254/8</f>
        <v>15.193517999999999</v>
      </c>
      <c r="J229" s="629">
        <v>42</v>
      </c>
      <c r="K229" s="140">
        <f t="shared" si="28"/>
        <v>31.906387799999997</v>
      </c>
      <c r="L229" s="140">
        <f t="shared" si="29"/>
        <v>31.906387799999997</v>
      </c>
      <c r="M229" s="140">
        <f t="shared" si="30"/>
        <v>0</v>
      </c>
      <c r="N229" s="140">
        <f t="shared" si="31"/>
        <v>0</v>
      </c>
      <c r="O229" s="140">
        <f t="shared" si="32"/>
        <v>0</v>
      </c>
      <c r="P229" s="140">
        <f t="shared" si="33"/>
        <v>0</v>
      </c>
      <c r="Q229" s="156">
        <f t="shared" si="34"/>
        <v>31.003063253035361</v>
      </c>
      <c r="R229" s="125">
        <v>2.0405453992311302</v>
      </c>
      <c r="S229" s="73">
        <f t="shared" si="35"/>
        <v>65.106432831374264</v>
      </c>
      <c r="T229" t="s">
        <v>793</v>
      </c>
    </row>
    <row r="230" spans="1:20">
      <c r="A230" s="618" t="s">
        <v>737</v>
      </c>
      <c r="B230" s="618" t="s">
        <v>790</v>
      </c>
      <c r="C230" s="618" t="s">
        <v>854</v>
      </c>
      <c r="D230" s="631" t="s">
        <v>497</v>
      </c>
      <c r="E230" s="631" t="s">
        <v>792</v>
      </c>
      <c r="F230" s="628">
        <v>0.2</v>
      </c>
      <c r="G230" s="628">
        <v>0.25</v>
      </c>
      <c r="H230" s="628"/>
      <c r="I230" s="626">
        <f t="shared" si="37"/>
        <v>15.193517999999999</v>
      </c>
      <c r="J230" s="629">
        <v>42</v>
      </c>
      <c r="K230" s="140">
        <f t="shared" si="28"/>
        <v>31.906387799999997</v>
      </c>
      <c r="L230" s="140">
        <f t="shared" si="29"/>
        <v>31.906387799999997</v>
      </c>
      <c r="M230" s="140">
        <f t="shared" si="30"/>
        <v>0</v>
      </c>
      <c r="N230" s="140">
        <f t="shared" si="31"/>
        <v>0</v>
      </c>
      <c r="O230" s="140">
        <f t="shared" si="32"/>
        <v>0</v>
      </c>
      <c r="P230" s="140">
        <f t="shared" si="33"/>
        <v>0</v>
      </c>
      <c r="Q230" s="156">
        <f t="shared" si="34"/>
        <v>31.003063253035361</v>
      </c>
      <c r="R230" s="125">
        <v>2.0405453992311302</v>
      </c>
      <c r="S230" s="73">
        <f t="shared" si="35"/>
        <v>65.106432831374264</v>
      </c>
      <c r="T230" t="s">
        <v>793</v>
      </c>
    </row>
    <row r="231" spans="1:20">
      <c r="A231" s="618" t="s">
        <v>737</v>
      </c>
      <c r="B231" s="618" t="s">
        <v>790</v>
      </c>
      <c r="C231" s="618" t="s">
        <v>854</v>
      </c>
      <c r="D231" s="631" t="s">
        <v>497</v>
      </c>
      <c r="E231" s="631" t="s">
        <v>792</v>
      </c>
      <c r="F231" s="628">
        <v>0.2</v>
      </c>
      <c r="G231" s="628">
        <v>0.25</v>
      </c>
      <c r="H231" s="628"/>
      <c r="I231" s="626">
        <f t="shared" si="37"/>
        <v>15.193517999999999</v>
      </c>
      <c r="J231" s="629">
        <v>54</v>
      </c>
      <c r="K231" s="140">
        <f t="shared" si="28"/>
        <v>41.022498599999999</v>
      </c>
      <c r="L231" s="140">
        <f t="shared" si="29"/>
        <v>41.022498599999999</v>
      </c>
      <c r="M231" s="140">
        <f t="shared" si="30"/>
        <v>0</v>
      </c>
      <c r="N231" s="140">
        <f t="shared" si="31"/>
        <v>0</v>
      </c>
      <c r="O231" s="140">
        <f t="shared" si="32"/>
        <v>0</v>
      </c>
      <c r="P231" s="140">
        <f t="shared" si="33"/>
        <v>0</v>
      </c>
      <c r="Q231" s="156">
        <f t="shared" si="34"/>
        <v>31.003063253035361</v>
      </c>
      <c r="R231" s="125">
        <v>2.0405453992311302</v>
      </c>
      <c r="S231" s="73">
        <f t="shared" si="35"/>
        <v>83.708270783195474</v>
      </c>
      <c r="T231" t="s">
        <v>793</v>
      </c>
    </row>
    <row r="232" spans="1:20">
      <c r="A232" s="618" t="s">
        <v>737</v>
      </c>
      <c r="B232" s="618" t="s">
        <v>790</v>
      </c>
      <c r="C232" s="618" t="s">
        <v>854</v>
      </c>
      <c r="D232" s="631" t="s">
        <v>497</v>
      </c>
      <c r="E232" s="631" t="s">
        <v>792</v>
      </c>
      <c r="F232" s="628">
        <v>0.2</v>
      </c>
      <c r="G232" s="628">
        <v>0.25</v>
      </c>
      <c r="H232" s="628"/>
      <c r="I232" s="626">
        <f t="shared" si="37"/>
        <v>15.193517999999999</v>
      </c>
      <c r="J232" s="629">
        <v>54</v>
      </c>
      <c r="K232" s="140">
        <f t="shared" si="28"/>
        <v>41.022498599999999</v>
      </c>
      <c r="L232" s="140">
        <f t="shared" si="29"/>
        <v>41.022498599999999</v>
      </c>
      <c r="M232" s="140">
        <f t="shared" si="30"/>
        <v>0</v>
      </c>
      <c r="N232" s="140">
        <f t="shared" si="31"/>
        <v>0</v>
      </c>
      <c r="O232" s="140">
        <f t="shared" si="32"/>
        <v>0</v>
      </c>
      <c r="P232" s="140">
        <f t="shared" si="33"/>
        <v>0</v>
      </c>
      <c r="Q232" s="156">
        <f t="shared" si="34"/>
        <v>31.003063253035361</v>
      </c>
      <c r="R232" s="125">
        <v>2.0405453992311302</v>
      </c>
      <c r="S232" s="73">
        <f t="shared" si="35"/>
        <v>83.708270783195474</v>
      </c>
      <c r="T232" t="s">
        <v>793</v>
      </c>
    </row>
    <row r="233" spans="1:20">
      <c r="A233" s="618" t="s">
        <v>737</v>
      </c>
      <c r="B233" s="618" t="s">
        <v>790</v>
      </c>
      <c r="C233" s="618" t="s">
        <v>854</v>
      </c>
      <c r="D233" s="631" t="s">
        <v>497</v>
      </c>
      <c r="E233" s="631" t="s">
        <v>792</v>
      </c>
      <c r="F233" s="628">
        <v>0.2</v>
      </c>
      <c r="G233" s="628">
        <v>0.25</v>
      </c>
      <c r="H233" s="628"/>
      <c r="I233" s="626">
        <f t="shared" si="37"/>
        <v>15.193517999999999</v>
      </c>
      <c r="J233" s="629">
        <v>72</v>
      </c>
      <c r="K233" s="140">
        <f t="shared" si="28"/>
        <v>54.696664799999994</v>
      </c>
      <c r="L233" s="140">
        <f t="shared" si="29"/>
        <v>54.696664799999994</v>
      </c>
      <c r="M233" s="140">
        <f t="shared" si="30"/>
        <v>0</v>
      </c>
      <c r="N233" s="140">
        <f t="shared" si="31"/>
        <v>0</v>
      </c>
      <c r="O233" s="140">
        <f t="shared" si="32"/>
        <v>0</v>
      </c>
      <c r="P233" s="140">
        <f t="shared" si="33"/>
        <v>0</v>
      </c>
      <c r="Q233" s="156">
        <f t="shared" si="34"/>
        <v>31.003063253035361</v>
      </c>
      <c r="R233" s="125">
        <v>2.0405453992311302</v>
      </c>
      <c r="S233" s="73">
        <f t="shared" si="35"/>
        <v>111.61102771092729</v>
      </c>
      <c r="T233" t="s">
        <v>793</v>
      </c>
    </row>
    <row r="234" spans="1:20">
      <c r="A234" s="618" t="s">
        <v>737</v>
      </c>
      <c r="B234" s="618" t="s">
        <v>790</v>
      </c>
      <c r="C234" s="618" t="s">
        <v>854</v>
      </c>
      <c r="D234" s="631" t="s">
        <v>497</v>
      </c>
      <c r="E234" s="631" t="s">
        <v>792</v>
      </c>
      <c r="F234" s="628">
        <v>0.2</v>
      </c>
      <c r="G234" s="628">
        <v>0.25</v>
      </c>
      <c r="H234" s="628"/>
      <c r="I234" s="626">
        <f t="shared" si="37"/>
        <v>15.193517999999999</v>
      </c>
      <c r="J234" s="629">
        <v>72</v>
      </c>
      <c r="K234" s="140">
        <f t="shared" si="28"/>
        <v>54.696664799999994</v>
      </c>
      <c r="L234" s="140">
        <f t="shared" si="29"/>
        <v>54.696664799999994</v>
      </c>
      <c r="M234" s="140">
        <f t="shared" si="30"/>
        <v>0</v>
      </c>
      <c r="N234" s="140">
        <f t="shared" si="31"/>
        <v>0</v>
      </c>
      <c r="O234" s="140">
        <f t="shared" si="32"/>
        <v>0</v>
      </c>
      <c r="P234" s="140">
        <f t="shared" si="33"/>
        <v>0</v>
      </c>
      <c r="Q234" s="156">
        <f t="shared" si="34"/>
        <v>31.003063253035361</v>
      </c>
      <c r="R234" s="125">
        <v>2.0405453992311302</v>
      </c>
      <c r="S234" s="73">
        <f t="shared" si="35"/>
        <v>111.61102771092729</v>
      </c>
      <c r="T234" t="s">
        <v>793</v>
      </c>
    </row>
    <row r="235" spans="1:20">
      <c r="A235" s="618" t="s">
        <v>737</v>
      </c>
      <c r="B235" s="618" t="s">
        <v>794</v>
      </c>
      <c r="C235" s="618" t="s">
        <v>855</v>
      </c>
      <c r="D235" s="631" t="s">
        <v>515</v>
      </c>
      <c r="E235" s="633" t="s">
        <v>792</v>
      </c>
      <c r="F235" s="628"/>
      <c r="G235" s="628">
        <v>4.9749999999999996</v>
      </c>
      <c r="H235" s="628"/>
      <c r="I235" s="626">
        <f t="shared" si="37"/>
        <v>15.193517999999999</v>
      </c>
      <c r="J235" s="629">
        <v>30</v>
      </c>
      <c r="K235" s="140">
        <f t="shared" si="28"/>
        <v>2267.6325614999996</v>
      </c>
      <c r="L235" s="140">
        <f t="shared" si="29"/>
        <v>0</v>
      </c>
      <c r="M235" s="140">
        <f t="shared" si="30"/>
        <v>0</v>
      </c>
      <c r="N235" s="140">
        <f t="shared" si="31"/>
        <v>0</v>
      </c>
      <c r="O235" s="140">
        <f t="shared" si="32"/>
        <v>2267.6325614999996</v>
      </c>
      <c r="P235" s="140">
        <f t="shared" si="33"/>
        <v>0</v>
      </c>
      <c r="Q235" s="156">
        <f t="shared" si="34"/>
        <v>33.253285585916984</v>
      </c>
      <c r="R235" s="157">
        <v>2.1886495007882298</v>
      </c>
      <c r="S235" s="73">
        <f t="shared" si="35"/>
        <v>4963.0528736981087</v>
      </c>
      <c r="T235" t="s">
        <v>793</v>
      </c>
    </row>
    <row r="236" spans="1:20">
      <c r="A236" s="618" t="s">
        <v>737</v>
      </c>
      <c r="B236" s="618" t="s">
        <v>790</v>
      </c>
      <c r="C236" s="618" t="s">
        <v>814</v>
      </c>
      <c r="D236" s="631" t="s">
        <v>497</v>
      </c>
      <c r="E236" s="631" t="s">
        <v>792</v>
      </c>
      <c r="F236" s="628">
        <v>0.17</v>
      </c>
      <c r="G236" s="628">
        <v>0.15</v>
      </c>
      <c r="H236" s="628"/>
      <c r="I236" s="626">
        <f t="shared" si="37"/>
        <v>15.193517999999999</v>
      </c>
      <c r="J236" s="629">
        <v>60</v>
      </c>
      <c r="K236" s="140">
        <f t="shared" si="28"/>
        <v>23.24608254</v>
      </c>
      <c r="L236" s="140">
        <f t="shared" si="29"/>
        <v>23.24608254</v>
      </c>
      <c r="M236" s="140">
        <f t="shared" si="30"/>
        <v>0</v>
      </c>
      <c r="N236" s="140">
        <f t="shared" si="31"/>
        <v>0</v>
      </c>
      <c r="O236" s="140">
        <f t="shared" si="32"/>
        <v>0</v>
      </c>
      <c r="P236" s="140">
        <f t="shared" si="33"/>
        <v>0</v>
      </c>
      <c r="Q236" s="156">
        <f t="shared" si="34"/>
        <v>31.003063253035361</v>
      </c>
      <c r="R236" s="125">
        <v>2.0405453992311302</v>
      </c>
      <c r="S236" s="73">
        <f t="shared" si="35"/>
        <v>47.434686777144108</v>
      </c>
      <c r="T236" t="s">
        <v>793</v>
      </c>
    </row>
    <row r="237" spans="1:20">
      <c r="A237" s="618" t="s">
        <v>737</v>
      </c>
      <c r="B237" s="618" t="s">
        <v>790</v>
      </c>
      <c r="C237" s="618" t="s">
        <v>856</v>
      </c>
      <c r="D237" s="631" t="s">
        <v>497</v>
      </c>
      <c r="E237" s="631" t="s">
        <v>792</v>
      </c>
      <c r="F237" s="628">
        <v>0.10199999999999999</v>
      </c>
      <c r="G237" s="628">
        <v>10.047000000000001</v>
      </c>
      <c r="H237" s="628"/>
      <c r="I237" s="626">
        <f t="shared" si="37"/>
        <v>15.193517999999999</v>
      </c>
      <c r="J237" s="629">
        <v>1</v>
      </c>
      <c r="K237" s="140">
        <f t="shared" si="28"/>
        <v>15.570226085291999</v>
      </c>
      <c r="L237" s="140">
        <f t="shared" si="29"/>
        <v>15.570226085291999</v>
      </c>
      <c r="M237" s="140">
        <f t="shared" si="30"/>
        <v>0</v>
      </c>
      <c r="N237" s="140">
        <f t="shared" si="31"/>
        <v>0</v>
      </c>
      <c r="O237" s="140">
        <f t="shared" si="32"/>
        <v>0</v>
      </c>
      <c r="P237" s="140">
        <f t="shared" si="33"/>
        <v>0</v>
      </c>
      <c r="Q237" s="156">
        <f t="shared" si="34"/>
        <v>31.003063253035361</v>
      </c>
      <c r="R237" s="125">
        <v>2.0405453992311302</v>
      </c>
      <c r="S237" s="73">
        <f t="shared" si="35"/>
        <v>31.771753203331119</v>
      </c>
      <c r="T237" t="s">
        <v>793</v>
      </c>
    </row>
    <row r="238" spans="1:20">
      <c r="A238" s="618" t="s">
        <v>737</v>
      </c>
      <c r="B238" s="618" t="s">
        <v>790</v>
      </c>
      <c r="C238" s="618" t="s">
        <v>856</v>
      </c>
      <c r="D238" s="631" t="s">
        <v>497</v>
      </c>
      <c r="E238" s="631" t="s">
        <v>792</v>
      </c>
      <c r="F238" s="628">
        <v>0.10199999999999999</v>
      </c>
      <c r="G238" s="628">
        <v>38.981000000000002</v>
      </c>
      <c r="H238" s="628"/>
      <c r="I238" s="626">
        <f t="shared" si="37"/>
        <v>15.193517999999999</v>
      </c>
      <c r="J238" s="629">
        <v>1</v>
      </c>
      <c r="K238" s="140">
        <f t="shared" si="28"/>
        <v>60.410369566115996</v>
      </c>
      <c r="L238" s="140">
        <f t="shared" si="29"/>
        <v>60.410369566115996</v>
      </c>
      <c r="M238" s="140">
        <f t="shared" si="30"/>
        <v>0</v>
      </c>
      <c r="N238" s="140">
        <f t="shared" si="31"/>
        <v>0</v>
      </c>
      <c r="O238" s="140">
        <f t="shared" si="32"/>
        <v>0</v>
      </c>
      <c r="P238" s="140">
        <f t="shared" si="33"/>
        <v>0</v>
      </c>
      <c r="Q238" s="156">
        <f t="shared" si="34"/>
        <v>31.003063253035361</v>
      </c>
      <c r="R238" s="125">
        <v>2.0405453992311302</v>
      </c>
      <c r="S238" s="73">
        <f t="shared" si="35"/>
        <v>123.27010168399028</v>
      </c>
      <c r="T238" t="s">
        <v>793</v>
      </c>
    </row>
    <row r="239" spans="1:20">
      <c r="A239" s="618" t="s">
        <v>737</v>
      </c>
      <c r="B239" s="618" t="s">
        <v>790</v>
      </c>
      <c r="C239" s="618" t="s">
        <v>856</v>
      </c>
      <c r="D239" s="631" t="s">
        <v>497</v>
      </c>
      <c r="E239" s="631" t="s">
        <v>792</v>
      </c>
      <c r="F239" s="628">
        <v>0.10199999999999999</v>
      </c>
      <c r="G239" s="628">
        <v>76.718000000000004</v>
      </c>
      <c r="H239" s="628"/>
      <c r="I239" s="626">
        <f t="shared" si="37"/>
        <v>15.193517999999999</v>
      </c>
      <c r="J239" s="629">
        <v>1</v>
      </c>
      <c r="K239" s="140">
        <f t="shared" si="28"/>
        <v>118.89286402024798</v>
      </c>
      <c r="L239" s="140">
        <f t="shared" si="29"/>
        <v>118.89286402024798</v>
      </c>
      <c r="M239" s="140">
        <f t="shared" si="30"/>
        <v>0</v>
      </c>
      <c r="N239" s="140">
        <f t="shared" si="31"/>
        <v>0</v>
      </c>
      <c r="O239" s="140">
        <f t="shared" si="32"/>
        <v>0</v>
      </c>
      <c r="P239" s="140">
        <f t="shared" si="33"/>
        <v>0</v>
      </c>
      <c r="Q239" s="156">
        <f t="shared" si="34"/>
        <v>31.003063253035361</v>
      </c>
      <c r="R239" s="125">
        <v>2.0405453992311302</v>
      </c>
      <c r="S239" s="73">
        <f t="shared" si="35"/>
        <v>242.6062866779294</v>
      </c>
      <c r="T239" t="s">
        <v>793</v>
      </c>
    </row>
    <row r="240" spans="1:20">
      <c r="A240" s="618" t="s">
        <v>737</v>
      </c>
      <c r="B240" s="618" t="s">
        <v>790</v>
      </c>
      <c r="C240" s="618" t="s">
        <v>857</v>
      </c>
      <c r="D240" s="631" t="s">
        <v>497</v>
      </c>
      <c r="E240" s="631" t="s">
        <v>792</v>
      </c>
      <c r="F240" s="628">
        <v>0.127</v>
      </c>
      <c r="G240" s="628">
        <v>114.455</v>
      </c>
      <c r="H240" s="628"/>
      <c r="I240" s="626">
        <f t="shared" si="37"/>
        <v>15.193517999999999</v>
      </c>
      <c r="J240" s="629">
        <v>1</v>
      </c>
      <c r="K240" s="140">
        <f t="shared" si="28"/>
        <v>220.84971104163</v>
      </c>
      <c r="L240" s="140">
        <f t="shared" si="29"/>
        <v>220.84971104163</v>
      </c>
      <c r="M240" s="140">
        <f t="shared" si="30"/>
        <v>0</v>
      </c>
      <c r="N240" s="140">
        <f t="shared" si="31"/>
        <v>0</v>
      </c>
      <c r="O240" s="140">
        <f t="shared" si="32"/>
        <v>0</v>
      </c>
      <c r="P240" s="140">
        <f t="shared" si="33"/>
        <v>0</v>
      </c>
      <c r="Q240" s="156">
        <f t="shared" si="34"/>
        <v>31.003063253035361</v>
      </c>
      <c r="R240" s="125">
        <v>2.0405453992311302</v>
      </c>
      <c r="S240" s="73">
        <f t="shared" si="35"/>
        <v>450.65386178752266</v>
      </c>
      <c r="T240" t="s">
        <v>793</v>
      </c>
    </row>
    <row r="241" spans="1:20">
      <c r="A241" s="618" t="s">
        <v>737</v>
      </c>
      <c r="B241" s="618" t="s">
        <v>790</v>
      </c>
      <c r="C241" s="618" t="s">
        <v>854</v>
      </c>
      <c r="D241" s="631" t="s">
        <v>497</v>
      </c>
      <c r="E241" s="631" t="s">
        <v>792</v>
      </c>
      <c r="F241" s="628">
        <v>0.6</v>
      </c>
      <c r="G241" s="628">
        <v>2.782</v>
      </c>
      <c r="H241" s="628"/>
      <c r="I241" s="626">
        <f t="shared" si="37"/>
        <v>15.193517999999999</v>
      </c>
      <c r="J241" s="629">
        <v>2</v>
      </c>
      <c r="K241" s="140">
        <f t="shared" si="28"/>
        <v>50.722040491199998</v>
      </c>
      <c r="L241" s="140">
        <f t="shared" si="29"/>
        <v>50.722040491199998</v>
      </c>
      <c r="M241" s="140">
        <f t="shared" si="30"/>
        <v>0</v>
      </c>
      <c r="N241" s="140">
        <f t="shared" si="31"/>
        <v>0</v>
      </c>
      <c r="O241" s="140">
        <f t="shared" si="32"/>
        <v>0</v>
      </c>
      <c r="P241" s="140">
        <f t="shared" si="33"/>
        <v>0</v>
      </c>
      <c r="Q241" s="156">
        <f t="shared" si="34"/>
        <v>31.003063253035361</v>
      </c>
      <c r="R241" s="125">
        <v>2.0405453992311302</v>
      </c>
      <c r="S241" s="73">
        <f t="shared" si="35"/>
        <v>103.50062636393325</v>
      </c>
      <c r="T241" t="s">
        <v>793</v>
      </c>
    </row>
    <row r="242" spans="1:20">
      <c r="A242" s="618" t="s">
        <v>737</v>
      </c>
      <c r="B242" s="618" t="s">
        <v>790</v>
      </c>
      <c r="C242" s="618" t="s">
        <v>854</v>
      </c>
      <c r="D242" s="631" t="s">
        <v>497</v>
      </c>
      <c r="E242" s="631" t="s">
        <v>792</v>
      </c>
      <c r="F242" s="628">
        <v>0.65500000000000003</v>
      </c>
      <c r="G242" s="628">
        <v>6</v>
      </c>
      <c r="H242" s="628"/>
      <c r="I242" s="626">
        <f t="shared" si="37"/>
        <v>15.193517999999999</v>
      </c>
      <c r="J242" s="629">
        <v>6</v>
      </c>
      <c r="K242" s="140">
        <f t="shared" si="28"/>
        <v>358.26315443999999</v>
      </c>
      <c r="L242" s="140">
        <f t="shared" si="29"/>
        <v>358.26315443999999</v>
      </c>
      <c r="M242" s="140">
        <f t="shared" si="30"/>
        <v>0</v>
      </c>
      <c r="N242" s="140">
        <f t="shared" si="31"/>
        <v>0</v>
      </c>
      <c r="O242" s="140">
        <f t="shared" si="32"/>
        <v>0</v>
      </c>
      <c r="P242" s="140">
        <f t="shared" si="33"/>
        <v>0</v>
      </c>
      <c r="Q242" s="156">
        <f t="shared" si="34"/>
        <v>31.003063253035361</v>
      </c>
      <c r="R242" s="125">
        <v>2.0405453992311302</v>
      </c>
      <c r="S242" s="73">
        <f t="shared" si="35"/>
        <v>731.05223150657389</v>
      </c>
      <c r="T242" t="s">
        <v>793</v>
      </c>
    </row>
    <row r="243" spans="1:20">
      <c r="A243" s="618" t="s">
        <v>737</v>
      </c>
      <c r="B243" s="618" t="s">
        <v>790</v>
      </c>
      <c r="C243" s="618" t="s">
        <v>854</v>
      </c>
      <c r="D243" s="631" t="s">
        <v>497</v>
      </c>
      <c r="E243" s="631" t="s">
        <v>792</v>
      </c>
      <c r="F243" s="628">
        <v>0.79500000000000004</v>
      </c>
      <c r="G243" s="628">
        <v>6</v>
      </c>
      <c r="H243" s="628"/>
      <c r="I243" s="626">
        <f t="shared" si="37"/>
        <v>15.193517999999999</v>
      </c>
      <c r="J243" s="629">
        <v>8</v>
      </c>
      <c r="K243" s="140">
        <f t="shared" si="28"/>
        <v>579.78464688000008</v>
      </c>
      <c r="L243" s="140">
        <f t="shared" si="29"/>
        <v>579.78464688000008</v>
      </c>
      <c r="M243" s="140">
        <f t="shared" si="30"/>
        <v>0</v>
      </c>
      <c r="N243" s="140">
        <f t="shared" si="31"/>
        <v>0</v>
      </c>
      <c r="O243" s="140">
        <f t="shared" si="32"/>
        <v>0</v>
      </c>
      <c r="P243" s="140">
        <f t="shared" si="33"/>
        <v>0</v>
      </c>
      <c r="Q243" s="156">
        <f t="shared" si="34"/>
        <v>31.003063253035361</v>
      </c>
      <c r="R243" s="125">
        <v>2.0405453992311302</v>
      </c>
      <c r="S243" s="73">
        <f t="shared" si="35"/>
        <v>1183.0768937358296</v>
      </c>
      <c r="T243" t="s">
        <v>793</v>
      </c>
    </row>
    <row r="244" spans="1:20">
      <c r="A244" s="618" t="s">
        <v>737</v>
      </c>
      <c r="B244" s="618" t="s">
        <v>790</v>
      </c>
      <c r="C244" s="618" t="s">
        <v>854</v>
      </c>
      <c r="D244" s="631" t="s">
        <v>497</v>
      </c>
      <c r="E244" s="631" t="s">
        <v>792</v>
      </c>
      <c r="F244" s="628">
        <v>0.89100000000000001</v>
      </c>
      <c r="G244" s="628">
        <v>6</v>
      </c>
      <c r="H244" s="628"/>
      <c r="I244" s="626">
        <f t="shared" si="37"/>
        <v>15.193517999999999</v>
      </c>
      <c r="J244" s="629">
        <v>12</v>
      </c>
      <c r="K244" s="140">
        <f t="shared" si="28"/>
        <v>974.69456673599984</v>
      </c>
      <c r="L244" s="140">
        <f t="shared" si="29"/>
        <v>974.69456673599984</v>
      </c>
      <c r="M244" s="140">
        <f t="shared" si="30"/>
        <v>0</v>
      </c>
      <c r="N244" s="140">
        <f t="shared" si="31"/>
        <v>0</v>
      </c>
      <c r="O244" s="140">
        <f t="shared" si="32"/>
        <v>0</v>
      </c>
      <c r="P244" s="140">
        <f t="shared" si="33"/>
        <v>0</v>
      </c>
      <c r="Q244" s="156">
        <f t="shared" si="34"/>
        <v>31.003063253035361</v>
      </c>
      <c r="R244" s="125">
        <v>2.0405453992311302</v>
      </c>
      <c r="S244" s="73">
        <f t="shared" si="35"/>
        <v>1988.9085138087244</v>
      </c>
      <c r="T244" t="s">
        <v>793</v>
      </c>
    </row>
    <row r="245" spans="1:20">
      <c r="A245" s="618" t="s">
        <v>737</v>
      </c>
      <c r="B245" s="618" t="s">
        <v>790</v>
      </c>
      <c r="C245" s="618" t="s">
        <v>854</v>
      </c>
      <c r="D245" s="631" t="s">
        <v>497</v>
      </c>
      <c r="E245" s="631" t="s">
        <v>792</v>
      </c>
      <c r="F245" s="628">
        <v>0.99</v>
      </c>
      <c r="G245" s="628">
        <v>6</v>
      </c>
      <c r="H245" s="628"/>
      <c r="I245" s="626">
        <f t="shared" si="37"/>
        <v>15.193517999999999</v>
      </c>
      <c r="J245" s="629">
        <v>60</v>
      </c>
      <c r="K245" s="140">
        <f t="shared" si="28"/>
        <v>5414.9698151999992</v>
      </c>
      <c r="L245" s="140">
        <f t="shared" si="29"/>
        <v>5414.9698151999992</v>
      </c>
      <c r="M245" s="140">
        <f t="shared" si="30"/>
        <v>0</v>
      </c>
      <c r="N245" s="140">
        <f t="shared" si="31"/>
        <v>0</v>
      </c>
      <c r="O245" s="140">
        <f t="shared" si="32"/>
        <v>0</v>
      </c>
      <c r="P245" s="140">
        <f t="shared" si="33"/>
        <v>0</v>
      </c>
      <c r="Q245" s="156">
        <f t="shared" si="34"/>
        <v>31.003063253035361</v>
      </c>
      <c r="R245" s="125">
        <v>2.0405453992311302</v>
      </c>
      <c r="S245" s="73">
        <f t="shared" si="35"/>
        <v>11049.491743381801</v>
      </c>
      <c r="T245" t="s">
        <v>793</v>
      </c>
    </row>
    <row r="246" spans="1:20">
      <c r="A246" s="618" t="s">
        <v>737</v>
      </c>
      <c r="B246" s="618" t="s">
        <v>790</v>
      </c>
      <c r="C246" s="618" t="s">
        <v>854</v>
      </c>
      <c r="D246" s="631" t="s">
        <v>497</v>
      </c>
      <c r="E246" s="631" t="s">
        <v>792</v>
      </c>
      <c r="F246" s="628">
        <v>0.99</v>
      </c>
      <c r="G246" s="628">
        <v>6</v>
      </c>
      <c r="H246" s="628"/>
      <c r="I246" s="626">
        <f t="shared" si="37"/>
        <v>15.193517999999999</v>
      </c>
      <c r="J246" s="629">
        <v>30</v>
      </c>
      <c r="K246" s="140">
        <f t="shared" si="28"/>
        <v>2707.4849075999996</v>
      </c>
      <c r="L246" s="140">
        <f t="shared" si="29"/>
        <v>2707.4849075999996</v>
      </c>
      <c r="M246" s="140">
        <f t="shared" si="30"/>
        <v>0</v>
      </c>
      <c r="N246" s="140">
        <f t="shared" si="31"/>
        <v>0</v>
      </c>
      <c r="O246" s="140">
        <f t="shared" si="32"/>
        <v>0</v>
      </c>
      <c r="P246" s="140">
        <f t="shared" si="33"/>
        <v>0</v>
      </c>
      <c r="Q246" s="156">
        <f t="shared" si="34"/>
        <v>31.003063253035361</v>
      </c>
      <c r="R246" s="125">
        <v>2.0405453992311302</v>
      </c>
      <c r="S246" s="73">
        <f t="shared" si="35"/>
        <v>5524.7458716909005</v>
      </c>
      <c r="T246" t="s">
        <v>793</v>
      </c>
    </row>
    <row r="247" spans="1:20">
      <c r="A247" s="618" t="s">
        <v>737</v>
      </c>
      <c r="B247" s="618" t="s">
        <v>790</v>
      </c>
      <c r="C247" s="618" t="s">
        <v>857</v>
      </c>
      <c r="D247" s="631" t="s">
        <v>497</v>
      </c>
      <c r="E247" s="631" t="s">
        <v>792</v>
      </c>
      <c r="F247" s="628">
        <v>0.127</v>
      </c>
      <c r="G247" s="628">
        <v>167.85300000000001</v>
      </c>
      <c r="H247" s="628"/>
      <c r="I247" s="626">
        <f t="shared" si="37"/>
        <v>15.193517999999999</v>
      </c>
      <c r="J247" s="629">
        <v>1</v>
      </c>
      <c r="K247" s="140">
        <f t="shared" si="28"/>
        <v>323.885252260458</v>
      </c>
      <c r="L247" s="140">
        <f t="shared" si="29"/>
        <v>323.885252260458</v>
      </c>
      <c r="M247" s="140">
        <f t="shared" si="30"/>
        <v>0</v>
      </c>
      <c r="N247" s="140">
        <f t="shared" si="31"/>
        <v>0</v>
      </c>
      <c r="O247" s="140">
        <f t="shared" si="32"/>
        <v>0</v>
      </c>
      <c r="P247" s="140">
        <f t="shared" si="33"/>
        <v>0</v>
      </c>
      <c r="Q247" s="156">
        <f t="shared" si="34"/>
        <v>31.003063253035361</v>
      </c>
      <c r="R247" s="125">
        <v>2.0405453992311302</v>
      </c>
      <c r="S247" s="73">
        <f t="shared" si="35"/>
        <v>660.90256137889162</v>
      </c>
      <c r="T247" t="s">
        <v>793</v>
      </c>
    </row>
    <row r="248" spans="1:20">
      <c r="A248" s="618" t="s">
        <v>737</v>
      </c>
      <c r="B248" s="618" t="s">
        <v>790</v>
      </c>
      <c r="C248" s="618" t="s">
        <v>854</v>
      </c>
      <c r="D248" s="631" t="s">
        <v>497</v>
      </c>
      <c r="E248" s="631" t="s">
        <v>792</v>
      </c>
      <c r="F248" s="628">
        <v>0.6</v>
      </c>
      <c r="G248" s="628">
        <v>2.5710000000000002</v>
      </c>
      <c r="H248" s="628"/>
      <c r="I248" s="626">
        <f t="shared" si="37"/>
        <v>15.193517999999999</v>
      </c>
      <c r="J248" s="629">
        <v>1</v>
      </c>
      <c r="K248" s="140">
        <f t="shared" si="28"/>
        <v>23.4375208668</v>
      </c>
      <c r="L248" s="140">
        <f t="shared" si="29"/>
        <v>23.4375208668</v>
      </c>
      <c r="M248" s="140">
        <f t="shared" si="30"/>
        <v>0</v>
      </c>
      <c r="N248" s="140">
        <f t="shared" si="31"/>
        <v>0</v>
      </c>
      <c r="O248" s="140">
        <f t="shared" si="32"/>
        <v>0</v>
      </c>
      <c r="P248" s="140">
        <f t="shared" si="33"/>
        <v>0</v>
      </c>
      <c r="Q248" s="156">
        <f t="shared" si="34"/>
        <v>31.003063253035361</v>
      </c>
      <c r="R248" s="125">
        <v>2.0405453992311302</v>
      </c>
      <c r="S248" s="73">
        <f t="shared" si="35"/>
        <v>47.825325374132348</v>
      </c>
      <c r="T248" t="s">
        <v>793</v>
      </c>
    </row>
    <row r="249" spans="1:20">
      <c r="A249" s="618" t="s">
        <v>737</v>
      </c>
      <c r="B249" s="618" t="s">
        <v>790</v>
      </c>
      <c r="C249" s="618" t="s">
        <v>854</v>
      </c>
      <c r="D249" s="631" t="s">
        <v>497</v>
      </c>
      <c r="E249" s="631" t="s">
        <v>792</v>
      </c>
      <c r="F249" s="628">
        <v>0.55000000000000004</v>
      </c>
      <c r="G249" s="628">
        <v>20.111000000000001</v>
      </c>
      <c r="H249" s="628"/>
      <c r="I249" s="626">
        <f t="shared" si="37"/>
        <v>15.193517999999999</v>
      </c>
      <c r="J249" s="629">
        <v>1</v>
      </c>
      <c r="K249" s="140">
        <f t="shared" si="28"/>
        <v>168.05626227390002</v>
      </c>
      <c r="L249" s="140">
        <f t="shared" si="29"/>
        <v>168.05626227390002</v>
      </c>
      <c r="M249" s="140">
        <f t="shared" si="30"/>
        <v>0</v>
      </c>
      <c r="N249" s="140">
        <f t="shared" si="31"/>
        <v>0</v>
      </c>
      <c r="O249" s="140">
        <f t="shared" si="32"/>
        <v>0</v>
      </c>
      <c r="P249" s="140">
        <f t="shared" si="33"/>
        <v>0</v>
      </c>
      <c r="Q249" s="156">
        <f t="shared" si="34"/>
        <v>31.003063253035361</v>
      </c>
      <c r="R249" s="125">
        <v>2.0405453992311302</v>
      </c>
      <c r="S249" s="73">
        <f t="shared" si="35"/>
        <v>342.92643279498685</v>
      </c>
      <c r="T249" t="s">
        <v>793</v>
      </c>
    </row>
    <row r="250" spans="1:20">
      <c r="A250" s="618" t="s">
        <v>737</v>
      </c>
      <c r="B250" s="618" t="s">
        <v>790</v>
      </c>
      <c r="C250" s="618" t="s">
        <v>854</v>
      </c>
      <c r="D250" s="631" t="s">
        <v>497</v>
      </c>
      <c r="E250" s="631" t="s">
        <v>792</v>
      </c>
      <c r="F250" s="628">
        <v>0.65500000000000003</v>
      </c>
      <c r="G250" s="628">
        <v>57.854999999999997</v>
      </c>
      <c r="H250" s="628"/>
      <c r="I250" s="626">
        <f t="shared" si="37"/>
        <v>15.193517999999999</v>
      </c>
      <c r="J250" s="629">
        <v>1</v>
      </c>
      <c r="K250" s="140">
        <f t="shared" si="28"/>
        <v>575.75874444794988</v>
      </c>
      <c r="L250" s="140">
        <f t="shared" si="29"/>
        <v>575.75874444794988</v>
      </c>
      <c r="M250" s="140">
        <f t="shared" si="30"/>
        <v>0</v>
      </c>
      <c r="N250" s="140">
        <f t="shared" si="31"/>
        <v>0</v>
      </c>
      <c r="O250" s="140">
        <f t="shared" si="32"/>
        <v>0</v>
      </c>
      <c r="P250" s="140">
        <f t="shared" si="33"/>
        <v>0</v>
      </c>
      <c r="Q250" s="156">
        <f t="shared" si="34"/>
        <v>31.003063253035361</v>
      </c>
      <c r="R250" s="125">
        <v>2.0405453992311302</v>
      </c>
      <c r="S250" s="73">
        <f t="shared" si="35"/>
        <v>1174.8618570503561</v>
      </c>
      <c r="T250" t="s">
        <v>793</v>
      </c>
    </row>
    <row r="251" spans="1:20">
      <c r="A251" s="618" t="s">
        <v>737</v>
      </c>
      <c r="B251" s="618" t="s">
        <v>790</v>
      </c>
      <c r="C251" s="618" t="s">
        <v>854</v>
      </c>
      <c r="D251" s="631" t="s">
        <v>497</v>
      </c>
      <c r="E251" s="631" t="s">
        <v>792</v>
      </c>
      <c r="F251" s="628">
        <v>0.79500000000000004</v>
      </c>
      <c r="G251" s="628">
        <v>95.591999999999999</v>
      </c>
      <c r="H251" s="628"/>
      <c r="I251" s="626">
        <f t="shared" si="37"/>
        <v>15.193517999999999</v>
      </c>
      <c r="J251" s="629">
        <v>1</v>
      </c>
      <c r="K251" s="140">
        <f t="shared" si="28"/>
        <v>1154.64112426152</v>
      </c>
      <c r="L251" s="140">
        <f t="shared" si="29"/>
        <v>1154.64112426152</v>
      </c>
      <c r="M251" s="140">
        <f t="shared" si="30"/>
        <v>0</v>
      </c>
      <c r="N251" s="140">
        <f t="shared" si="31"/>
        <v>0</v>
      </c>
      <c r="O251" s="140">
        <f t="shared" si="32"/>
        <v>0</v>
      </c>
      <c r="P251" s="140">
        <f t="shared" si="33"/>
        <v>0</v>
      </c>
      <c r="Q251" s="156">
        <f t="shared" si="34"/>
        <v>31.003063253035361</v>
      </c>
      <c r="R251" s="125">
        <v>2.0405453992311302</v>
      </c>
      <c r="S251" s="73">
        <f t="shared" si="35"/>
        <v>2356.0976338749042</v>
      </c>
      <c r="T251" t="s">
        <v>793</v>
      </c>
    </row>
    <row r="252" spans="1:20">
      <c r="A252" s="618" t="s">
        <v>737</v>
      </c>
      <c r="B252" s="618" t="s">
        <v>790</v>
      </c>
      <c r="C252" s="618" t="s">
        <v>854</v>
      </c>
      <c r="D252" s="631" t="s">
        <v>497</v>
      </c>
      <c r="E252" s="631" t="s">
        <v>792</v>
      </c>
      <c r="F252" s="628">
        <v>0.89100000000000001</v>
      </c>
      <c r="G252" s="628">
        <v>133.32599999999999</v>
      </c>
      <c r="H252" s="628"/>
      <c r="I252" s="626">
        <f t="shared" si="37"/>
        <v>15.193517999999999</v>
      </c>
      <c r="J252" s="629">
        <v>1</v>
      </c>
      <c r="K252" s="140">
        <f t="shared" si="28"/>
        <v>1804.8906639533877</v>
      </c>
      <c r="L252" s="140">
        <f t="shared" si="29"/>
        <v>1804.8906639533877</v>
      </c>
      <c r="M252" s="140">
        <f t="shared" si="30"/>
        <v>0</v>
      </c>
      <c r="N252" s="140">
        <f t="shared" si="31"/>
        <v>0</v>
      </c>
      <c r="O252" s="140">
        <f t="shared" si="32"/>
        <v>0</v>
      </c>
      <c r="P252" s="140">
        <f t="shared" si="33"/>
        <v>0</v>
      </c>
      <c r="Q252" s="156">
        <f t="shared" si="34"/>
        <v>31.003063253035361</v>
      </c>
      <c r="R252" s="125">
        <v>2.0405453992311302</v>
      </c>
      <c r="S252" s="73">
        <f t="shared" si="35"/>
        <v>3682.9613404453053</v>
      </c>
      <c r="T252" t="s">
        <v>793</v>
      </c>
    </row>
    <row r="253" spans="1:20">
      <c r="A253" s="618" t="s">
        <v>737</v>
      </c>
      <c r="B253" s="618" t="s">
        <v>790</v>
      </c>
      <c r="C253" s="618" t="s">
        <v>854</v>
      </c>
      <c r="D253" s="631" t="s">
        <v>497</v>
      </c>
      <c r="E253" s="631" t="s">
        <v>792</v>
      </c>
      <c r="F253" s="628">
        <v>1.1419999999999999</v>
      </c>
      <c r="G253" s="628">
        <v>171.065</v>
      </c>
      <c r="H253" s="628"/>
      <c r="I253" s="626">
        <f t="shared" si="37"/>
        <v>15.193517999999999</v>
      </c>
      <c r="J253" s="629">
        <v>1</v>
      </c>
      <c r="K253" s="140">
        <f t="shared" si="28"/>
        <v>2968.1483969171395</v>
      </c>
      <c r="L253" s="140">
        <f t="shared" si="29"/>
        <v>2968.1483969171395</v>
      </c>
      <c r="M253" s="140">
        <f t="shared" si="30"/>
        <v>0</v>
      </c>
      <c r="N253" s="140">
        <f t="shared" si="31"/>
        <v>0</v>
      </c>
      <c r="O253" s="140">
        <f t="shared" si="32"/>
        <v>0</v>
      </c>
      <c r="P253" s="140">
        <f t="shared" si="33"/>
        <v>0</v>
      </c>
      <c r="Q253" s="156">
        <f t="shared" si="34"/>
        <v>31.003063253035361</v>
      </c>
      <c r="R253" s="125">
        <v>2.0405453992311302</v>
      </c>
      <c r="S253" s="73">
        <f t="shared" si="35"/>
        <v>6056.6415555645235</v>
      </c>
      <c r="T253" t="s">
        <v>793</v>
      </c>
    </row>
    <row r="254" spans="1:20">
      <c r="A254" s="618" t="s">
        <v>737</v>
      </c>
      <c r="B254" s="618" t="s">
        <v>790</v>
      </c>
      <c r="C254" s="618" t="s">
        <v>858</v>
      </c>
      <c r="D254" s="631" t="s">
        <v>497</v>
      </c>
      <c r="E254" s="631" t="s">
        <v>792</v>
      </c>
      <c r="F254" s="628">
        <v>2.4380000000000002</v>
      </c>
      <c r="G254" s="628">
        <v>12.192</v>
      </c>
      <c r="H254" s="628"/>
      <c r="I254" s="626">
        <f t="shared" si="37"/>
        <v>15.193517999999999</v>
      </c>
      <c r="J254" s="629">
        <v>43</v>
      </c>
      <c r="K254" s="140">
        <f t="shared" si="28"/>
        <v>19419.384267218305</v>
      </c>
      <c r="L254" s="140">
        <f t="shared" si="29"/>
        <v>19419.384267218305</v>
      </c>
      <c r="M254" s="140">
        <f t="shared" si="30"/>
        <v>0</v>
      </c>
      <c r="N254" s="140">
        <f t="shared" si="31"/>
        <v>0</v>
      </c>
      <c r="O254" s="140">
        <f t="shared" si="32"/>
        <v>0</v>
      </c>
      <c r="P254" s="140">
        <f t="shared" si="33"/>
        <v>0</v>
      </c>
      <c r="Q254" s="156">
        <f t="shared" si="34"/>
        <v>31.003063253035361</v>
      </c>
      <c r="R254" s="125">
        <v>2.0405453992311302</v>
      </c>
      <c r="S254" s="73">
        <f t="shared" si="35"/>
        <v>39626.135222373705</v>
      </c>
      <c r="T254" t="s">
        <v>793</v>
      </c>
    </row>
    <row r="255" spans="1:20">
      <c r="A255" s="618" t="s">
        <v>738</v>
      </c>
      <c r="B255" s="618" t="s">
        <v>794</v>
      </c>
      <c r="C255" s="618" t="s">
        <v>859</v>
      </c>
      <c r="D255" s="631" t="s">
        <v>513</v>
      </c>
      <c r="E255" s="631" t="s">
        <v>799</v>
      </c>
      <c r="F255" s="628"/>
      <c r="G255" s="628">
        <v>0.10199999999999999</v>
      </c>
      <c r="H255" s="628"/>
      <c r="I255" s="626">
        <f>3/16*0.0254*7850*0.0254/2</f>
        <v>0.47479743749999997</v>
      </c>
      <c r="J255" s="628">
        <v>1</v>
      </c>
      <c r="K255" s="140">
        <f t="shared" si="28"/>
        <v>4.8429338624999992E-2</v>
      </c>
      <c r="L255" s="140">
        <f t="shared" si="29"/>
        <v>0</v>
      </c>
      <c r="M255" s="140">
        <f t="shared" si="30"/>
        <v>0</v>
      </c>
      <c r="N255" s="140">
        <f t="shared" si="31"/>
        <v>0</v>
      </c>
      <c r="O255" s="140">
        <f t="shared" si="32"/>
        <v>4.8429338624999992E-2</v>
      </c>
      <c r="P255" s="140">
        <f t="shared" si="33"/>
        <v>0</v>
      </c>
      <c r="Q255" s="156">
        <f t="shared" si="34"/>
        <v>1.0391651745599058</v>
      </c>
      <c r="R255" s="125">
        <v>2.1886495007882298</v>
      </c>
      <c r="S255" s="73">
        <f t="shared" si="35"/>
        <v>0.10599484780511037</v>
      </c>
      <c r="T255" t="s">
        <v>793</v>
      </c>
    </row>
    <row r="256" spans="1:20">
      <c r="A256" s="618" t="s">
        <v>738</v>
      </c>
      <c r="B256" s="618" t="s">
        <v>818</v>
      </c>
      <c r="C256" s="618" t="s">
        <v>860</v>
      </c>
      <c r="D256" s="631" t="s">
        <v>513</v>
      </c>
      <c r="E256" s="631" t="s">
        <v>799</v>
      </c>
      <c r="F256" s="628"/>
      <c r="G256" s="628"/>
      <c r="H256" s="628"/>
      <c r="I256" s="626">
        <v>0.154</v>
      </c>
      <c r="J256" s="628">
        <v>1</v>
      </c>
      <c r="K256" s="140">
        <f t="shared" si="28"/>
        <v>0.154</v>
      </c>
      <c r="L256" s="140">
        <f t="shared" si="29"/>
        <v>0</v>
      </c>
      <c r="M256" s="140">
        <f t="shared" si="30"/>
        <v>0</v>
      </c>
      <c r="N256" s="140">
        <f t="shared" si="31"/>
        <v>0.154</v>
      </c>
      <c r="O256" s="140">
        <f t="shared" si="32"/>
        <v>0</v>
      </c>
      <c r="P256" s="140">
        <f t="shared" si="33"/>
        <v>0</v>
      </c>
      <c r="Q256" s="156">
        <f t="shared" si="34"/>
        <v>0.85780346820809261</v>
      </c>
      <c r="R256" s="125">
        <v>5.5701523909616402</v>
      </c>
      <c r="S256" s="73">
        <f t="shared" si="35"/>
        <v>0.85780346820809261</v>
      </c>
      <c r="T256" t="s">
        <v>793</v>
      </c>
    </row>
    <row r="257" spans="1:20">
      <c r="A257" s="618" t="s">
        <v>738</v>
      </c>
      <c r="B257" s="618" t="s">
        <v>815</v>
      </c>
      <c r="C257" s="618" t="s">
        <v>861</v>
      </c>
      <c r="D257" s="631" t="s">
        <v>515</v>
      </c>
      <c r="E257" s="631" t="s">
        <v>817</v>
      </c>
      <c r="F257" s="628"/>
      <c r="G257" s="628">
        <v>5.3999999999999999E-2</v>
      </c>
      <c r="H257" s="628"/>
      <c r="I257" s="626">
        <v>2.5</v>
      </c>
      <c r="J257" s="628">
        <v>1</v>
      </c>
      <c r="K257" s="140">
        <f t="shared" si="28"/>
        <v>0.13500000000000001</v>
      </c>
      <c r="L257" s="140">
        <f t="shared" si="29"/>
        <v>0</v>
      </c>
      <c r="M257" s="140">
        <f t="shared" si="30"/>
        <v>0.13500000000000001</v>
      </c>
      <c r="N257" s="140">
        <f t="shared" si="31"/>
        <v>0</v>
      </c>
      <c r="O257" s="140">
        <f t="shared" si="32"/>
        <v>0</v>
      </c>
      <c r="P257" s="140">
        <f t="shared" si="33"/>
        <v>0</v>
      </c>
      <c r="Q257" s="156">
        <f t="shared" si="34"/>
        <v>9.7254335260115496</v>
      </c>
      <c r="R257" s="125">
        <v>3.8901734104046199</v>
      </c>
      <c r="S257" s="73">
        <f t="shared" si="35"/>
        <v>0.52517341040462373</v>
      </c>
      <c r="T257" t="s">
        <v>793</v>
      </c>
    </row>
    <row r="258" spans="1:20">
      <c r="A258" s="618" t="s">
        <v>738</v>
      </c>
      <c r="B258" s="618" t="s">
        <v>797</v>
      </c>
      <c r="C258" s="618" t="s">
        <v>862</v>
      </c>
      <c r="D258" s="631" t="s">
        <v>513</v>
      </c>
      <c r="E258" s="631" t="s">
        <v>799</v>
      </c>
      <c r="F258" s="628"/>
      <c r="G258" s="628">
        <v>1</v>
      </c>
      <c r="H258" s="628"/>
      <c r="I258" s="626">
        <v>0.1</v>
      </c>
      <c r="J258" s="628">
        <v>1</v>
      </c>
      <c r="K258" s="140">
        <f t="shared" si="28"/>
        <v>0.1</v>
      </c>
      <c r="L258" s="140">
        <f t="shared" si="29"/>
        <v>0</v>
      </c>
      <c r="M258" s="140">
        <f t="shared" si="30"/>
        <v>0</v>
      </c>
      <c r="N258" s="140">
        <f t="shared" si="31"/>
        <v>0</v>
      </c>
      <c r="O258" s="140">
        <f t="shared" si="32"/>
        <v>0</v>
      </c>
      <c r="P258" s="140">
        <f t="shared" si="33"/>
        <v>0.1</v>
      </c>
      <c r="Q258" s="156">
        <f t="shared" si="34"/>
        <v>0.45191802417235905</v>
      </c>
      <c r="R258" s="125">
        <v>4.51918024172359</v>
      </c>
      <c r="S258" s="73">
        <f t="shared" si="35"/>
        <v>0.45191802417235905</v>
      </c>
      <c r="T258" t="s">
        <v>800</v>
      </c>
    </row>
    <row r="259" spans="1:20">
      <c r="A259" s="618" t="s">
        <v>738</v>
      </c>
      <c r="B259" s="618" t="s">
        <v>790</v>
      </c>
      <c r="C259" s="618" t="s">
        <v>814</v>
      </c>
      <c r="D259" s="631" t="s">
        <v>497</v>
      </c>
      <c r="E259" s="631" t="s">
        <v>792</v>
      </c>
      <c r="F259" s="628">
        <v>8.3000000000000004E-2</v>
      </c>
      <c r="G259" s="628">
        <v>0.14000000000000001</v>
      </c>
      <c r="H259" s="628"/>
      <c r="I259" s="626">
        <f>8*0.0254*7850*3*0.0254/8</f>
        <v>15.193517999999999</v>
      </c>
      <c r="J259" s="628">
        <v>1</v>
      </c>
      <c r="K259" s="140">
        <f t="shared" ref="K259:K322" si="38">PRODUCT(F259:J259)</f>
        <v>0.17654867916000003</v>
      </c>
      <c r="L259" s="140">
        <f t="shared" ref="L259:L322" si="39">IF(B259="Lámina",K259,0)</f>
        <v>0.17654867916000003</v>
      </c>
      <c r="M259" s="140">
        <f t="shared" ref="M259:M322" si="40">IF(B259="Tubería",K259,0)</f>
        <v>0</v>
      </c>
      <c r="N259" s="140">
        <f t="shared" ref="N259:N322" si="41">IF(B259="Accesorio",K259,0)</f>
        <v>0</v>
      </c>
      <c r="O259" s="140">
        <f t="shared" ref="O259:O322" si="42">IF(B259="Perfil",K259,0)</f>
        <v>0</v>
      </c>
      <c r="P259" s="140">
        <f t="shared" ref="P259:P322" si="43">IF(B259="Tornillería",K259,0)</f>
        <v>0</v>
      </c>
      <c r="Q259" s="156">
        <f t="shared" ref="Q259:Q322" si="44">I259*R259</f>
        <v>31.003063253035361</v>
      </c>
      <c r="R259" s="125">
        <v>2.0405453992311302</v>
      </c>
      <c r="S259" s="73">
        <f t="shared" ref="S259:S322" si="45">R259*K259</f>
        <v>0.36025559500027099</v>
      </c>
      <c r="T259" t="s">
        <v>793</v>
      </c>
    </row>
    <row r="260" spans="1:20">
      <c r="A260" s="618" t="s">
        <v>738</v>
      </c>
      <c r="B260" s="618" t="s">
        <v>790</v>
      </c>
      <c r="C260" s="618" t="s">
        <v>863</v>
      </c>
      <c r="D260" s="631" t="s">
        <v>497</v>
      </c>
      <c r="E260" s="631" t="s">
        <v>792</v>
      </c>
      <c r="F260" s="628">
        <v>0.05</v>
      </c>
      <c r="G260" s="628">
        <v>0.9</v>
      </c>
      <c r="H260" s="628"/>
      <c r="I260" s="626">
        <f>8*0.0254*7850*3*0.0254/8</f>
        <v>15.193517999999999</v>
      </c>
      <c r="J260" s="628">
        <v>1</v>
      </c>
      <c r="K260" s="140">
        <f t="shared" si="38"/>
        <v>0.6837083100000001</v>
      </c>
      <c r="L260" s="140">
        <f t="shared" si="39"/>
        <v>0.6837083100000001</v>
      </c>
      <c r="M260" s="140">
        <f t="shared" si="40"/>
        <v>0</v>
      </c>
      <c r="N260" s="140">
        <f t="shared" si="41"/>
        <v>0</v>
      </c>
      <c r="O260" s="140">
        <f t="shared" si="42"/>
        <v>0</v>
      </c>
      <c r="P260" s="140">
        <f t="shared" si="43"/>
        <v>0</v>
      </c>
      <c r="Q260" s="156">
        <f t="shared" si="44"/>
        <v>31.003063253035361</v>
      </c>
      <c r="R260" s="125">
        <v>2.0405453992311302</v>
      </c>
      <c r="S260" s="73">
        <f t="shared" si="45"/>
        <v>1.3951378463865916</v>
      </c>
      <c r="T260" t="s">
        <v>793</v>
      </c>
    </row>
    <row r="261" spans="1:20">
      <c r="A261" s="618" t="s">
        <v>738</v>
      </c>
      <c r="B261" s="618" t="s">
        <v>797</v>
      </c>
      <c r="C261" s="618" t="s">
        <v>864</v>
      </c>
      <c r="D261" s="631" t="s">
        <v>513</v>
      </c>
      <c r="E261" s="631" t="s">
        <v>799</v>
      </c>
      <c r="F261" s="628"/>
      <c r="G261" s="628"/>
      <c r="H261" s="628"/>
      <c r="I261" s="626">
        <v>3.5000000000000003E-2</v>
      </c>
      <c r="J261" s="628">
        <v>1</v>
      </c>
      <c r="K261" s="140">
        <f t="shared" si="38"/>
        <v>3.5000000000000003E-2</v>
      </c>
      <c r="L261" s="140">
        <f t="shared" si="39"/>
        <v>0</v>
      </c>
      <c r="M261" s="140">
        <f t="shared" si="40"/>
        <v>0</v>
      </c>
      <c r="N261" s="140">
        <f t="shared" si="41"/>
        <v>0</v>
      </c>
      <c r="O261" s="140">
        <f t="shared" si="42"/>
        <v>0</v>
      </c>
      <c r="P261" s="140">
        <f t="shared" si="43"/>
        <v>3.5000000000000003E-2</v>
      </c>
      <c r="Q261" s="156">
        <f t="shared" si="44"/>
        <v>0.11246715712033621</v>
      </c>
      <c r="R261" s="125">
        <v>3.2133473462953202</v>
      </c>
      <c r="S261" s="73">
        <f t="shared" si="45"/>
        <v>0.11246715712033621</v>
      </c>
      <c r="T261" t="s">
        <v>800</v>
      </c>
    </row>
    <row r="262" spans="1:20">
      <c r="A262" s="618" t="s">
        <v>738</v>
      </c>
      <c r="B262" s="618" t="s">
        <v>797</v>
      </c>
      <c r="C262" s="618" t="s">
        <v>865</v>
      </c>
      <c r="D262" s="631" t="s">
        <v>513</v>
      </c>
      <c r="E262" s="631" t="s">
        <v>799</v>
      </c>
      <c r="F262" s="628"/>
      <c r="G262" s="628"/>
      <c r="H262" s="628"/>
      <c r="I262" s="626">
        <v>0.1</v>
      </c>
      <c r="J262" s="628">
        <v>1</v>
      </c>
      <c r="K262" s="140">
        <f t="shared" si="38"/>
        <v>0.1</v>
      </c>
      <c r="L262" s="140">
        <f t="shared" si="39"/>
        <v>0</v>
      </c>
      <c r="M262" s="140">
        <f t="shared" si="40"/>
        <v>0</v>
      </c>
      <c r="N262" s="140">
        <f t="shared" si="41"/>
        <v>0</v>
      </c>
      <c r="O262" s="140">
        <f t="shared" si="42"/>
        <v>0</v>
      </c>
      <c r="P262" s="140">
        <f t="shared" si="43"/>
        <v>0.1</v>
      </c>
      <c r="Q262" s="156">
        <f t="shared" si="44"/>
        <v>0.21886495007882301</v>
      </c>
      <c r="R262" s="125">
        <v>2.1886495007882298</v>
      </c>
      <c r="S262" s="73">
        <f t="shared" si="45"/>
        <v>0.21886495007882301</v>
      </c>
      <c r="T262" t="s">
        <v>800</v>
      </c>
    </row>
    <row r="263" spans="1:20">
      <c r="A263" s="618" t="s">
        <v>738</v>
      </c>
      <c r="B263" s="618" t="s">
        <v>790</v>
      </c>
      <c r="C263" s="618" t="s">
        <v>814</v>
      </c>
      <c r="D263" s="631" t="s">
        <v>497</v>
      </c>
      <c r="E263" s="631" t="s">
        <v>792</v>
      </c>
      <c r="F263" s="628">
        <v>6.4000000000000001E-2</v>
      </c>
      <c r="G263" s="628">
        <v>0.13500000000000001</v>
      </c>
      <c r="H263" s="628"/>
      <c r="I263" s="626">
        <f>8*0.0254*7850*3*0.0254/8</f>
        <v>15.193517999999999</v>
      </c>
      <c r="J263" s="628">
        <v>2</v>
      </c>
      <c r="K263" s="140">
        <f t="shared" si="38"/>
        <v>0.26254399103999998</v>
      </c>
      <c r="L263" s="140">
        <f t="shared" si="39"/>
        <v>0.26254399103999998</v>
      </c>
      <c r="M263" s="140">
        <f t="shared" si="40"/>
        <v>0</v>
      </c>
      <c r="N263" s="140">
        <f t="shared" si="41"/>
        <v>0</v>
      </c>
      <c r="O263" s="140">
        <f t="shared" si="42"/>
        <v>0</v>
      </c>
      <c r="P263" s="140">
        <f t="shared" si="43"/>
        <v>0</v>
      </c>
      <c r="Q263" s="156">
        <f t="shared" si="44"/>
        <v>31.003063253035361</v>
      </c>
      <c r="R263" s="125">
        <v>2.0405453992311302</v>
      </c>
      <c r="S263" s="73">
        <f t="shared" si="45"/>
        <v>0.53573293301245106</v>
      </c>
      <c r="T263" t="s">
        <v>793</v>
      </c>
    </row>
    <row r="264" spans="1:20">
      <c r="A264" s="618" t="s">
        <v>738</v>
      </c>
      <c r="B264" s="618" t="s">
        <v>794</v>
      </c>
      <c r="C264" s="618" t="s">
        <v>866</v>
      </c>
      <c r="D264" s="631" t="s">
        <v>513</v>
      </c>
      <c r="E264" s="631" t="s">
        <v>799</v>
      </c>
      <c r="F264" s="628"/>
      <c r="G264" s="628">
        <v>2.0209999999999999</v>
      </c>
      <c r="H264" s="628"/>
      <c r="I264" s="626">
        <f>1.5*0.0254*7850*0.0254*3/16</f>
        <v>1.4243923125</v>
      </c>
      <c r="J264" s="628">
        <v>1</v>
      </c>
      <c r="K264" s="140">
        <f t="shared" si="38"/>
        <v>2.8786968635624999</v>
      </c>
      <c r="L264" s="140">
        <f t="shared" si="39"/>
        <v>0</v>
      </c>
      <c r="M264" s="140">
        <f t="shared" si="40"/>
        <v>0</v>
      </c>
      <c r="N264" s="140">
        <f t="shared" si="41"/>
        <v>0</v>
      </c>
      <c r="O264" s="140">
        <f t="shared" si="42"/>
        <v>2.8786968635624999</v>
      </c>
      <c r="P264" s="140">
        <f t="shared" si="43"/>
        <v>0</v>
      </c>
      <c r="Q264" s="156">
        <f t="shared" si="44"/>
        <v>3.1174955236797173</v>
      </c>
      <c r="R264" s="125">
        <v>2.1886495007882298</v>
      </c>
      <c r="S264" s="73">
        <f t="shared" si="45"/>
        <v>6.3004584533567085</v>
      </c>
      <c r="T264" t="s">
        <v>793</v>
      </c>
    </row>
    <row r="265" spans="1:20">
      <c r="A265" s="618" t="s">
        <v>738</v>
      </c>
      <c r="B265" s="618" t="s">
        <v>790</v>
      </c>
      <c r="C265" s="618" t="s">
        <v>863</v>
      </c>
      <c r="D265" s="631" t="s">
        <v>497</v>
      </c>
      <c r="E265" s="631" t="s">
        <v>792</v>
      </c>
      <c r="F265" s="628"/>
      <c r="G265" s="628"/>
      <c r="H265" s="628">
        <f>0.637*0.637*3.1416/4</f>
        <v>0.31869097260000001</v>
      </c>
      <c r="I265" s="626">
        <f>8*0.0254*7850*3*0.0254/8</f>
        <v>15.193517999999999</v>
      </c>
      <c r="J265" s="628">
        <v>1</v>
      </c>
      <c r="K265" s="140">
        <f t="shared" si="38"/>
        <v>4.8420370286356071</v>
      </c>
      <c r="L265" s="140">
        <f t="shared" si="39"/>
        <v>4.8420370286356071</v>
      </c>
      <c r="M265" s="140">
        <f t="shared" si="40"/>
        <v>0</v>
      </c>
      <c r="N265" s="140">
        <f t="shared" si="41"/>
        <v>0</v>
      </c>
      <c r="O265" s="140">
        <f t="shared" si="42"/>
        <v>0</v>
      </c>
      <c r="P265" s="140">
        <f t="shared" si="43"/>
        <v>0</v>
      </c>
      <c r="Q265" s="156">
        <f t="shared" si="44"/>
        <v>31.003063253035361</v>
      </c>
      <c r="R265" s="125">
        <v>2.0405453992311302</v>
      </c>
      <c r="S265" s="73">
        <f t="shared" si="45"/>
        <v>9.8803963816891596</v>
      </c>
      <c r="T265" t="s">
        <v>793</v>
      </c>
    </row>
    <row r="266" spans="1:20">
      <c r="A266" s="618" t="s">
        <v>738</v>
      </c>
      <c r="B266" s="618" t="s">
        <v>790</v>
      </c>
      <c r="C266" s="618" t="s">
        <v>814</v>
      </c>
      <c r="D266" s="631" t="s">
        <v>497</v>
      </c>
      <c r="E266" s="631" t="s">
        <v>792</v>
      </c>
      <c r="F266" s="628">
        <v>0.22500000000000001</v>
      </c>
      <c r="G266" s="628">
        <v>1.9359999999999999</v>
      </c>
      <c r="H266" s="628"/>
      <c r="I266" s="626">
        <f>8*0.0254*7850*3*0.0254/8</f>
        <v>15.193517999999999</v>
      </c>
      <c r="J266" s="628">
        <v>1</v>
      </c>
      <c r="K266" s="140">
        <f t="shared" si="38"/>
        <v>6.6182964407999991</v>
      </c>
      <c r="L266" s="140">
        <f t="shared" si="39"/>
        <v>6.6182964407999991</v>
      </c>
      <c r="M266" s="140">
        <f t="shared" si="40"/>
        <v>0</v>
      </c>
      <c r="N266" s="140">
        <f t="shared" si="41"/>
        <v>0</v>
      </c>
      <c r="O266" s="140">
        <f t="shared" si="42"/>
        <v>0</v>
      </c>
      <c r="P266" s="140">
        <f t="shared" si="43"/>
        <v>0</v>
      </c>
      <c r="Q266" s="156">
        <f t="shared" si="44"/>
        <v>31.003063253035361</v>
      </c>
      <c r="R266" s="125">
        <v>2.0405453992311302</v>
      </c>
      <c r="S266" s="73">
        <f t="shared" si="45"/>
        <v>13.504934353022202</v>
      </c>
      <c r="T266" t="s">
        <v>793</v>
      </c>
    </row>
    <row r="267" spans="1:20">
      <c r="A267" s="618" t="s">
        <v>741</v>
      </c>
      <c r="B267" s="618" t="s">
        <v>790</v>
      </c>
      <c r="C267" s="618" t="s">
        <v>814</v>
      </c>
      <c r="D267" s="631" t="s">
        <v>497</v>
      </c>
      <c r="E267" s="631" t="s">
        <v>792</v>
      </c>
      <c r="F267" s="628"/>
      <c r="G267" s="628"/>
      <c r="H267" s="628">
        <f>((0.089*0.089*3.1416/4)-(0.063*0.063*3.1416/4))</f>
        <v>3.1039007999999991E-3</v>
      </c>
      <c r="I267" s="626">
        <f>8*0.0254*7850*3*0.0254/8</f>
        <v>15.193517999999999</v>
      </c>
      <c r="J267" s="628">
        <v>4</v>
      </c>
      <c r="K267" s="140">
        <f t="shared" si="38"/>
        <v>0.18863669070005754</v>
      </c>
      <c r="L267" s="140">
        <f t="shared" si="39"/>
        <v>0.18863669070005754</v>
      </c>
      <c r="M267" s="140">
        <f t="shared" si="40"/>
        <v>0</v>
      </c>
      <c r="N267" s="140">
        <f t="shared" si="41"/>
        <v>0</v>
      </c>
      <c r="O267" s="140">
        <f t="shared" si="42"/>
        <v>0</v>
      </c>
      <c r="P267" s="140">
        <f t="shared" si="43"/>
        <v>0</v>
      </c>
      <c r="Q267" s="156">
        <f t="shared" si="44"/>
        <v>31.003063253035361</v>
      </c>
      <c r="R267" s="125">
        <v>2.0405453992311302</v>
      </c>
      <c r="S267" s="73">
        <f t="shared" si="45"/>
        <v>0.38492173133418811</v>
      </c>
      <c r="T267" t="s">
        <v>793</v>
      </c>
    </row>
    <row r="268" spans="1:20">
      <c r="A268" s="618" t="s">
        <v>741</v>
      </c>
      <c r="B268" s="618" t="s">
        <v>797</v>
      </c>
      <c r="C268" s="618" t="s">
        <v>867</v>
      </c>
      <c r="D268" s="631" t="s">
        <v>515</v>
      </c>
      <c r="E268" s="633" t="s">
        <v>792</v>
      </c>
      <c r="F268" s="628"/>
      <c r="G268" s="628">
        <v>0.1</v>
      </c>
      <c r="H268" s="628"/>
      <c r="I268" s="626">
        <f>3.5*3.5*0.0254*0.0254*3.1416*8830/4</f>
        <v>54.809409413219996</v>
      </c>
      <c r="J268" s="628">
        <v>2</v>
      </c>
      <c r="K268" s="140">
        <f t="shared" si="38"/>
        <v>10.961881882644001</v>
      </c>
      <c r="L268" s="140">
        <f t="shared" si="39"/>
        <v>0</v>
      </c>
      <c r="M268" s="140">
        <f t="shared" si="40"/>
        <v>0</v>
      </c>
      <c r="N268" s="140">
        <f t="shared" si="41"/>
        <v>0</v>
      </c>
      <c r="O268" s="140">
        <f t="shared" si="42"/>
        <v>0</v>
      </c>
      <c r="P268" s="140">
        <f t="shared" si="43"/>
        <v>10.961881882644001</v>
      </c>
      <c r="Q268" s="156">
        <f t="shared" si="44"/>
        <v>176.12167028998422</v>
      </c>
      <c r="R268" s="125">
        <v>3.2133473462953202</v>
      </c>
      <c r="S268" s="73">
        <f t="shared" si="45"/>
        <v>35.224334057996849</v>
      </c>
      <c r="T268" t="s">
        <v>800</v>
      </c>
    </row>
    <row r="269" spans="1:20">
      <c r="A269" s="618" t="s">
        <v>741</v>
      </c>
      <c r="B269" s="618" t="s">
        <v>790</v>
      </c>
      <c r="C269" s="618" t="s">
        <v>868</v>
      </c>
      <c r="D269" s="631" t="s">
        <v>497</v>
      </c>
      <c r="E269" s="631" t="s">
        <v>792</v>
      </c>
      <c r="F269" s="628">
        <v>0.55000000000000004</v>
      </c>
      <c r="G269" s="628">
        <v>0.55000000000000004</v>
      </c>
      <c r="H269" s="628">
        <f>0.55*0.55*3.1416/4</f>
        <v>0.23758350000000003</v>
      </c>
      <c r="I269" s="626">
        <f>8*0.0254*7850*3*0.0254/8</f>
        <v>15.193517999999999</v>
      </c>
      <c r="J269" s="628">
        <v>2</v>
      </c>
      <c r="K269" s="140">
        <f t="shared" si="38"/>
        <v>2.1838861561705656</v>
      </c>
      <c r="L269" s="140">
        <f t="shared" si="39"/>
        <v>2.1838861561705656</v>
      </c>
      <c r="M269" s="140">
        <f t="shared" si="40"/>
        <v>0</v>
      </c>
      <c r="N269" s="140">
        <f t="shared" si="41"/>
        <v>0</v>
      </c>
      <c r="O269" s="140">
        <f t="shared" si="42"/>
        <v>0</v>
      </c>
      <c r="P269" s="140">
        <f t="shared" si="43"/>
        <v>0</v>
      </c>
      <c r="Q269" s="156">
        <f t="shared" si="44"/>
        <v>31.003063253035361</v>
      </c>
      <c r="R269" s="125">
        <v>2.0405453992311302</v>
      </c>
      <c r="S269" s="73">
        <f t="shared" si="45"/>
        <v>4.4563188484184053</v>
      </c>
      <c r="T269" t="s">
        <v>793</v>
      </c>
    </row>
    <row r="270" spans="1:20">
      <c r="A270" s="618" t="s">
        <v>741</v>
      </c>
      <c r="B270" s="618" t="s">
        <v>797</v>
      </c>
      <c r="C270" s="618" t="s">
        <v>869</v>
      </c>
      <c r="D270" s="631" t="s">
        <v>513</v>
      </c>
      <c r="E270" s="631" t="s">
        <v>799</v>
      </c>
      <c r="F270" s="628"/>
      <c r="G270" s="628">
        <v>1</v>
      </c>
      <c r="H270" s="628"/>
      <c r="I270" s="626">
        <v>0.1</v>
      </c>
      <c r="J270" s="628">
        <v>2</v>
      </c>
      <c r="K270" s="140">
        <f t="shared" si="38"/>
        <v>0.2</v>
      </c>
      <c r="L270" s="140">
        <f t="shared" si="39"/>
        <v>0</v>
      </c>
      <c r="M270" s="140">
        <f t="shared" si="40"/>
        <v>0</v>
      </c>
      <c r="N270" s="140">
        <f t="shared" si="41"/>
        <v>0</v>
      </c>
      <c r="O270" s="140">
        <f t="shared" si="42"/>
        <v>0</v>
      </c>
      <c r="P270" s="140">
        <f t="shared" si="43"/>
        <v>0.2</v>
      </c>
      <c r="Q270" s="156">
        <f t="shared" si="44"/>
        <v>0.32133473462953205</v>
      </c>
      <c r="R270" s="125">
        <v>3.2133473462953202</v>
      </c>
      <c r="S270" s="73">
        <f t="shared" si="45"/>
        <v>0.6426694692590641</v>
      </c>
      <c r="T270" t="s">
        <v>800</v>
      </c>
    </row>
    <row r="271" spans="1:20">
      <c r="A271" s="618" t="s">
        <v>741</v>
      </c>
      <c r="B271" s="618" t="s">
        <v>794</v>
      </c>
      <c r="C271" s="618" t="s">
        <v>870</v>
      </c>
      <c r="D271" s="631" t="s">
        <v>513</v>
      </c>
      <c r="E271" s="631" t="s">
        <v>799</v>
      </c>
      <c r="F271" s="628"/>
      <c r="G271" s="628">
        <v>0.38900000000000001</v>
      </c>
      <c r="H271" s="628"/>
      <c r="I271" s="626">
        <f>3.5*0.0254*7850*0.0254/4</f>
        <v>4.4314427499999995</v>
      </c>
      <c r="J271" s="628">
        <v>2</v>
      </c>
      <c r="K271" s="140">
        <f t="shared" si="38"/>
        <v>3.4476624594999996</v>
      </c>
      <c r="L271" s="140">
        <f t="shared" si="39"/>
        <v>0</v>
      </c>
      <c r="M271" s="140">
        <f t="shared" si="40"/>
        <v>0</v>
      </c>
      <c r="N271" s="140">
        <f t="shared" si="41"/>
        <v>0</v>
      </c>
      <c r="O271" s="140">
        <f t="shared" si="42"/>
        <v>3.4476624594999996</v>
      </c>
      <c r="P271" s="140">
        <f t="shared" si="43"/>
        <v>0</v>
      </c>
      <c r="Q271" s="156">
        <f t="shared" si="44"/>
        <v>9.6988749625591186</v>
      </c>
      <c r="R271" s="125">
        <v>2.1886495007882298</v>
      </c>
      <c r="S271" s="73">
        <f t="shared" si="45"/>
        <v>7.5457247208709948</v>
      </c>
      <c r="T271" t="s">
        <v>793</v>
      </c>
    </row>
    <row r="272" spans="1:20">
      <c r="A272" s="618" t="s">
        <v>741</v>
      </c>
      <c r="B272" s="618" t="s">
        <v>794</v>
      </c>
      <c r="C272" s="618" t="s">
        <v>871</v>
      </c>
      <c r="D272" s="631" t="s">
        <v>513</v>
      </c>
      <c r="E272" s="631" t="s">
        <v>799</v>
      </c>
      <c r="F272" s="628"/>
      <c r="G272" s="628">
        <v>0.29499999999999998</v>
      </c>
      <c r="H272" s="628"/>
      <c r="I272" s="626">
        <f>3*0.0254*7850*0.0254/4</f>
        <v>3.7983794999999998</v>
      </c>
      <c r="J272" s="628">
        <v>2</v>
      </c>
      <c r="K272" s="140">
        <f t="shared" si="38"/>
        <v>2.2410439049999997</v>
      </c>
      <c r="L272" s="140">
        <f t="shared" si="39"/>
        <v>0</v>
      </c>
      <c r="M272" s="140">
        <f t="shared" si="40"/>
        <v>0</v>
      </c>
      <c r="N272" s="140">
        <f t="shared" si="41"/>
        <v>0</v>
      </c>
      <c r="O272" s="140">
        <f t="shared" si="42"/>
        <v>2.2410439049999997</v>
      </c>
      <c r="P272" s="140">
        <f t="shared" si="43"/>
        <v>0</v>
      </c>
      <c r="Q272" s="156">
        <f t="shared" si="44"/>
        <v>8.3133213964792461</v>
      </c>
      <c r="R272" s="125">
        <v>2.1886495007882298</v>
      </c>
      <c r="S272" s="73">
        <f t="shared" si="45"/>
        <v>4.9048596239227544</v>
      </c>
      <c r="T272" t="s">
        <v>793</v>
      </c>
    </row>
    <row r="273" spans="1:20">
      <c r="A273" s="618" t="s">
        <v>741</v>
      </c>
      <c r="B273" s="618" t="s">
        <v>815</v>
      </c>
      <c r="C273" s="618" t="s">
        <v>872</v>
      </c>
      <c r="D273" s="631" t="s">
        <v>515</v>
      </c>
      <c r="E273" s="631" t="s">
        <v>817</v>
      </c>
      <c r="F273" s="628"/>
      <c r="G273" s="628">
        <v>1.48</v>
      </c>
      <c r="H273" s="628"/>
      <c r="I273" s="626">
        <v>7.48</v>
      </c>
      <c r="J273" s="628">
        <v>1</v>
      </c>
      <c r="K273" s="140">
        <f t="shared" si="38"/>
        <v>11.070400000000001</v>
      </c>
      <c r="L273" s="140">
        <f t="shared" si="39"/>
        <v>0</v>
      </c>
      <c r="M273" s="140">
        <f t="shared" si="40"/>
        <v>11.070400000000001</v>
      </c>
      <c r="N273" s="140">
        <f t="shared" si="41"/>
        <v>0</v>
      </c>
      <c r="O273" s="140">
        <f t="shared" si="42"/>
        <v>0</v>
      </c>
      <c r="P273" s="140">
        <f t="shared" si="43"/>
        <v>0</v>
      </c>
      <c r="Q273" s="156">
        <f t="shared" si="44"/>
        <v>16.371098265895959</v>
      </c>
      <c r="R273" s="125">
        <v>2.1886495007882298</v>
      </c>
      <c r="S273" s="73">
        <f t="shared" si="45"/>
        <v>24.229225433526022</v>
      </c>
      <c r="T273" t="s">
        <v>793</v>
      </c>
    </row>
    <row r="274" spans="1:20">
      <c r="A274" s="618" t="s">
        <v>741</v>
      </c>
      <c r="B274" s="618" t="s">
        <v>797</v>
      </c>
      <c r="C274" s="618" t="s">
        <v>869</v>
      </c>
      <c r="D274" s="631" t="s">
        <v>513</v>
      </c>
      <c r="E274" s="631" t="s">
        <v>799</v>
      </c>
      <c r="F274" s="628"/>
      <c r="G274" s="628">
        <v>3.7999999999999999E-2</v>
      </c>
      <c r="H274" s="628"/>
      <c r="I274" s="626">
        <v>0.1</v>
      </c>
      <c r="J274" s="628">
        <v>218</v>
      </c>
      <c r="K274" s="140">
        <f t="shared" si="38"/>
        <v>0.82840000000000003</v>
      </c>
      <c r="L274" s="140">
        <f t="shared" si="39"/>
        <v>0</v>
      </c>
      <c r="M274" s="140">
        <f t="shared" si="40"/>
        <v>0</v>
      </c>
      <c r="N274" s="140">
        <f t="shared" si="41"/>
        <v>0</v>
      </c>
      <c r="O274" s="140">
        <f t="shared" si="42"/>
        <v>0</v>
      </c>
      <c r="P274" s="140">
        <f t="shared" si="43"/>
        <v>0.82840000000000003</v>
      </c>
      <c r="Q274" s="156">
        <f t="shared" si="44"/>
        <v>0.32133473462953205</v>
      </c>
      <c r="R274" s="125">
        <v>3.2133473462953202</v>
      </c>
      <c r="S274" s="73">
        <f t="shared" si="45"/>
        <v>2.6619369416710432</v>
      </c>
      <c r="T274" t="s">
        <v>800</v>
      </c>
    </row>
    <row r="275" spans="1:20">
      <c r="A275" s="618" t="s">
        <v>741</v>
      </c>
      <c r="B275" s="618" t="s">
        <v>797</v>
      </c>
      <c r="C275" s="618" t="s">
        <v>873</v>
      </c>
      <c r="D275" s="631" t="s">
        <v>515</v>
      </c>
      <c r="E275" s="631" t="s">
        <v>792</v>
      </c>
      <c r="F275" s="628"/>
      <c r="G275" s="628">
        <v>3.4000000000000002E-2</v>
      </c>
      <c r="H275" s="628"/>
      <c r="I275" s="626">
        <v>2.2349999999999999</v>
      </c>
      <c r="J275" s="628">
        <v>216</v>
      </c>
      <c r="K275" s="140">
        <f t="shared" si="38"/>
        <v>16.41384</v>
      </c>
      <c r="L275" s="140">
        <f t="shared" si="39"/>
        <v>0</v>
      </c>
      <c r="M275" s="140">
        <f t="shared" si="40"/>
        <v>0</v>
      </c>
      <c r="N275" s="140">
        <f t="shared" si="41"/>
        <v>0</v>
      </c>
      <c r="O275" s="140">
        <f t="shared" si="42"/>
        <v>0</v>
      </c>
      <c r="P275" s="140">
        <f t="shared" si="43"/>
        <v>16.41384</v>
      </c>
      <c r="Q275" s="156">
        <f t="shared" si="44"/>
        <v>7.1818313189700405</v>
      </c>
      <c r="R275" s="125">
        <v>3.2133473462953202</v>
      </c>
      <c r="S275" s="73">
        <f t="shared" si="45"/>
        <v>52.743369206515979</v>
      </c>
      <c r="T275" t="s">
        <v>800</v>
      </c>
    </row>
    <row r="276" spans="1:20">
      <c r="A276" s="618" t="s">
        <v>741</v>
      </c>
      <c r="B276" s="618" t="s">
        <v>794</v>
      </c>
      <c r="C276" s="618" t="s">
        <v>871</v>
      </c>
      <c r="D276" s="631" t="s">
        <v>513</v>
      </c>
      <c r="E276" s="631" t="s">
        <v>799</v>
      </c>
      <c r="F276" s="628"/>
      <c r="G276" s="628">
        <v>2.085</v>
      </c>
      <c r="H276" s="628"/>
      <c r="I276" s="626">
        <f>3*0.0254*7850*0.0254/4</f>
        <v>3.7983794999999998</v>
      </c>
      <c r="J276" s="628">
        <v>2</v>
      </c>
      <c r="K276" s="140">
        <f t="shared" si="38"/>
        <v>15.839242514999999</v>
      </c>
      <c r="L276" s="140">
        <f t="shared" si="39"/>
        <v>0</v>
      </c>
      <c r="M276" s="140">
        <f t="shared" si="40"/>
        <v>0</v>
      </c>
      <c r="N276" s="140">
        <f t="shared" si="41"/>
        <v>0</v>
      </c>
      <c r="O276" s="140">
        <f t="shared" si="42"/>
        <v>15.839242514999999</v>
      </c>
      <c r="P276" s="140">
        <f t="shared" si="43"/>
        <v>0</v>
      </c>
      <c r="Q276" s="156">
        <f t="shared" si="44"/>
        <v>8.3133213964792461</v>
      </c>
      <c r="R276" s="125">
        <v>2.1886495007882298</v>
      </c>
      <c r="S276" s="73">
        <f t="shared" si="45"/>
        <v>34.666550223318453</v>
      </c>
      <c r="T276" t="s">
        <v>793</v>
      </c>
    </row>
    <row r="277" spans="1:20">
      <c r="A277" s="618" t="s">
        <v>741</v>
      </c>
      <c r="B277" s="618" t="s">
        <v>794</v>
      </c>
      <c r="C277" s="618" t="s">
        <v>874</v>
      </c>
      <c r="D277" s="631" t="s">
        <v>513</v>
      </c>
      <c r="E277" s="631" t="s">
        <v>799</v>
      </c>
      <c r="F277" s="628"/>
      <c r="G277" s="628">
        <v>0.23499999999999999</v>
      </c>
      <c r="H277" s="628"/>
      <c r="I277" s="626">
        <f>2*0.0254*7850*0.0254/4</f>
        <v>2.5322529999999999</v>
      </c>
      <c r="J277" s="628">
        <v>4</v>
      </c>
      <c r="K277" s="140">
        <f t="shared" si="38"/>
        <v>2.3803178199999997</v>
      </c>
      <c r="L277" s="140">
        <f t="shared" si="39"/>
        <v>0</v>
      </c>
      <c r="M277" s="140">
        <f t="shared" si="40"/>
        <v>0</v>
      </c>
      <c r="N277" s="140">
        <f t="shared" si="41"/>
        <v>0</v>
      </c>
      <c r="O277" s="140">
        <f t="shared" si="42"/>
        <v>2.3803178199999997</v>
      </c>
      <c r="P277" s="140">
        <f t="shared" si="43"/>
        <v>0</v>
      </c>
      <c r="Q277" s="156">
        <f t="shared" si="44"/>
        <v>5.5422142643194974</v>
      </c>
      <c r="R277" s="125">
        <v>2.1886495007882298</v>
      </c>
      <c r="S277" s="73">
        <f t="shared" si="45"/>
        <v>5.2096814084603267</v>
      </c>
      <c r="T277" t="s">
        <v>793</v>
      </c>
    </row>
    <row r="278" spans="1:20">
      <c r="A278" s="618" t="s">
        <v>741</v>
      </c>
      <c r="B278" s="618" t="s">
        <v>794</v>
      </c>
      <c r="C278" s="618" t="s">
        <v>874</v>
      </c>
      <c r="D278" s="631" t="s">
        <v>513</v>
      </c>
      <c r="E278" s="631" t="s">
        <v>799</v>
      </c>
      <c r="F278" s="628"/>
      <c r="G278" s="628">
        <v>5.891</v>
      </c>
      <c r="H278" s="628"/>
      <c r="I278" s="626">
        <f>2*0.0254*7850*0.0254/4</f>
        <v>2.5322529999999999</v>
      </c>
      <c r="J278" s="628">
        <v>6</v>
      </c>
      <c r="K278" s="140">
        <f t="shared" si="38"/>
        <v>89.505014537999983</v>
      </c>
      <c r="L278" s="140">
        <f t="shared" si="39"/>
        <v>0</v>
      </c>
      <c r="M278" s="140">
        <f t="shared" si="40"/>
        <v>0</v>
      </c>
      <c r="N278" s="140">
        <f t="shared" si="41"/>
        <v>0</v>
      </c>
      <c r="O278" s="140">
        <f t="shared" si="42"/>
        <v>89.505014537999983</v>
      </c>
      <c r="P278" s="140">
        <f t="shared" si="43"/>
        <v>0</v>
      </c>
      <c r="Q278" s="156">
        <f t="shared" si="44"/>
        <v>5.5422142643194974</v>
      </c>
      <c r="R278" s="125">
        <v>2.1886495007882298</v>
      </c>
      <c r="S278" s="73">
        <f t="shared" si="45"/>
        <v>195.89510538663691</v>
      </c>
      <c r="T278" t="s">
        <v>793</v>
      </c>
    </row>
    <row r="279" spans="1:20">
      <c r="A279" s="618" t="s">
        <v>741</v>
      </c>
      <c r="B279" s="618" t="s">
        <v>797</v>
      </c>
      <c r="C279" s="618" t="s">
        <v>875</v>
      </c>
      <c r="D279" s="631" t="s">
        <v>513</v>
      </c>
      <c r="E279" s="631" t="s">
        <v>799</v>
      </c>
      <c r="F279" s="628"/>
      <c r="G279" s="628"/>
      <c r="H279" s="628"/>
      <c r="I279" s="626">
        <v>0.21</v>
      </c>
      <c r="J279" s="628">
        <v>2</v>
      </c>
      <c r="K279" s="140">
        <f t="shared" si="38"/>
        <v>0.42</v>
      </c>
      <c r="L279" s="140">
        <f t="shared" si="39"/>
        <v>0</v>
      </c>
      <c r="M279" s="140">
        <f t="shared" si="40"/>
        <v>0</v>
      </c>
      <c r="N279" s="140">
        <f t="shared" si="41"/>
        <v>0</v>
      </c>
      <c r="O279" s="140">
        <f t="shared" si="42"/>
        <v>0</v>
      </c>
      <c r="P279" s="140">
        <f t="shared" si="43"/>
        <v>0.42</v>
      </c>
      <c r="Q279" s="156">
        <f t="shared" si="44"/>
        <v>0.67480294272201724</v>
      </c>
      <c r="R279" s="125">
        <v>3.2133473462953202</v>
      </c>
      <c r="S279" s="73">
        <f t="shared" si="45"/>
        <v>1.3496058854440345</v>
      </c>
      <c r="T279" t="s">
        <v>800</v>
      </c>
    </row>
    <row r="280" spans="1:20">
      <c r="A280" s="618" t="s">
        <v>741</v>
      </c>
      <c r="B280" s="618" t="s">
        <v>790</v>
      </c>
      <c r="C280" s="618" t="s">
        <v>814</v>
      </c>
      <c r="D280" s="631" t="s">
        <v>497</v>
      </c>
      <c r="E280" s="631" t="s">
        <v>792</v>
      </c>
      <c r="F280" s="628">
        <v>0.20499999999999999</v>
      </c>
      <c r="G280" s="628">
        <v>0.2</v>
      </c>
      <c r="H280" s="628"/>
      <c r="I280" s="626">
        <f>8*0.0254*7850*3*0.0254/8</f>
        <v>15.193517999999999</v>
      </c>
      <c r="J280" s="628">
        <v>69</v>
      </c>
      <c r="K280" s="140">
        <f t="shared" si="38"/>
        <v>42.982462422000005</v>
      </c>
      <c r="L280" s="140">
        <f t="shared" si="39"/>
        <v>42.982462422000005</v>
      </c>
      <c r="M280" s="140">
        <f t="shared" si="40"/>
        <v>0</v>
      </c>
      <c r="N280" s="140">
        <f t="shared" si="41"/>
        <v>0</v>
      </c>
      <c r="O280" s="140">
        <f t="shared" si="42"/>
        <v>0</v>
      </c>
      <c r="P280" s="140">
        <f t="shared" si="43"/>
        <v>0</v>
      </c>
      <c r="Q280" s="156">
        <f t="shared" si="44"/>
        <v>31.003063253035361</v>
      </c>
      <c r="R280" s="125">
        <v>2.0405453992311302</v>
      </c>
      <c r="S280" s="73">
        <f t="shared" si="45"/>
        <v>87.707665942837053</v>
      </c>
      <c r="T280" t="s">
        <v>793</v>
      </c>
    </row>
    <row r="281" spans="1:20">
      <c r="A281" s="618" t="s">
        <v>741</v>
      </c>
      <c r="B281" s="618" t="s">
        <v>790</v>
      </c>
      <c r="C281" s="618" t="s">
        <v>814</v>
      </c>
      <c r="D281" s="631" t="s">
        <v>497</v>
      </c>
      <c r="E281" s="631" t="s">
        <v>792</v>
      </c>
      <c r="F281" s="628">
        <v>0.11</v>
      </c>
      <c r="G281" s="628">
        <v>0.23499999999999999</v>
      </c>
      <c r="H281" s="628"/>
      <c r="I281" s="626">
        <f>8*0.0254*7850*3*0.0254/8</f>
        <v>15.193517999999999</v>
      </c>
      <c r="J281" s="628">
        <v>1</v>
      </c>
      <c r="K281" s="140">
        <f t="shared" si="38"/>
        <v>0.39275244029999995</v>
      </c>
      <c r="L281" s="140">
        <f t="shared" si="39"/>
        <v>0.39275244029999995</v>
      </c>
      <c r="M281" s="140">
        <f t="shared" si="40"/>
        <v>0</v>
      </c>
      <c r="N281" s="140">
        <f t="shared" si="41"/>
        <v>0</v>
      </c>
      <c r="O281" s="140">
        <f t="shared" si="42"/>
        <v>0</v>
      </c>
      <c r="P281" s="140">
        <f t="shared" si="43"/>
        <v>0</v>
      </c>
      <c r="Q281" s="156">
        <f t="shared" si="44"/>
        <v>31.003063253035361</v>
      </c>
      <c r="R281" s="125">
        <v>2.0405453992311302</v>
      </c>
      <c r="S281" s="73">
        <f t="shared" si="45"/>
        <v>0.80142918509096406</v>
      </c>
      <c r="T281" t="s">
        <v>793</v>
      </c>
    </row>
    <row r="282" spans="1:20">
      <c r="A282" s="618" t="s">
        <v>741</v>
      </c>
      <c r="B282" s="618" t="s">
        <v>790</v>
      </c>
      <c r="C282" s="618" t="s">
        <v>814</v>
      </c>
      <c r="D282" s="631" t="s">
        <v>497</v>
      </c>
      <c r="E282" s="631" t="s">
        <v>792</v>
      </c>
      <c r="F282" s="628">
        <v>7.0000000000000007E-2</v>
      </c>
      <c r="G282" s="628">
        <v>0.21</v>
      </c>
      <c r="H282" s="628"/>
      <c r="I282" s="626">
        <f>8*0.0254*7850*3*0.0254/8</f>
        <v>15.193517999999999</v>
      </c>
      <c r="J282" s="628">
        <v>70</v>
      </c>
      <c r="K282" s="140">
        <f t="shared" si="38"/>
        <v>15.634130021999999</v>
      </c>
      <c r="L282" s="140">
        <f t="shared" si="39"/>
        <v>15.634130021999999</v>
      </c>
      <c r="M282" s="140">
        <f t="shared" si="40"/>
        <v>0</v>
      </c>
      <c r="N282" s="140">
        <f t="shared" si="41"/>
        <v>0</v>
      </c>
      <c r="O282" s="140">
        <f t="shared" si="42"/>
        <v>0</v>
      </c>
      <c r="P282" s="140">
        <f t="shared" si="43"/>
        <v>0</v>
      </c>
      <c r="Q282" s="156">
        <f t="shared" si="44"/>
        <v>31.003063253035361</v>
      </c>
      <c r="R282" s="125">
        <v>2.0405453992311302</v>
      </c>
      <c r="S282" s="73">
        <f t="shared" si="45"/>
        <v>31.902152087373388</v>
      </c>
      <c r="T282" t="s">
        <v>793</v>
      </c>
    </row>
    <row r="283" spans="1:20">
      <c r="A283" s="618" t="s">
        <v>741</v>
      </c>
      <c r="B283" s="618" t="s">
        <v>790</v>
      </c>
      <c r="C283" s="618" t="s">
        <v>814</v>
      </c>
      <c r="D283" s="631" t="s">
        <v>497</v>
      </c>
      <c r="E283" s="631" t="s">
        <v>792</v>
      </c>
      <c r="F283" s="628">
        <v>0.09</v>
      </c>
      <c r="G283" s="628">
        <v>0.21</v>
      </c>
      <c r="H283" s="628"/>
      <c r="I283" s="626">
        <f>8*0.0254*7850*3*0.0254/8</f>
        <v>15.193517999999999</v>
      </c>
      <c r="J283" s="628">
        <v>138</v>
      </c>
      <c r="K283" s="140">
        <f t="shared" si="38"/>
        <v>39.627733647599996</v>
      </c>
      <c r="L283" s="140">
        <f t="shared" si="39"/>
        <v>39.627733647599996</v>
      </c>
      <c r="M283" s="140">
        <f t="shared" si="40"/>
        <v>0</v>
      </c>
      <c r="N283" s="140">
        <f t="shared" si="41"/>
        <v>0</v>
      </c>
      <c r="O283" s="140">
        <f t="shared" si="42"/>
        <v>0</v>
      </c>
      <c r="P283" s="140">
        <f t="shared" si="43"/>
        <v>0</v>
      </c>
      <c r="Q283" s="156">
        <f t="shared" si="44"/>
        <v>31.003063253035361</v>
      </c>
      <c r="R283" s="125">
        <v>2.0405453992311302</v>
      </c>
      <c r="S283" s="73">
        <f t="shared" si="45"/>
        <v>80.86218957656682</v>
      </c>
      <c r="T283" t="s">
        <v>793</v>
      </c>
    </row>
    <row r="284" spans="1:20">
      <c r="A284" s="618" t="s">
        <v>741</v>
      </c>
      <c r="B284" s="618" t="s">
        <v>790</v>
      </c>
      <c r="C284" s="618" t="s">
        <v>863</v>
      </c>
      <c r="D284" s="631" t="s">
        <v>497</v>
      </c>
      <c r="E284" s="631" t="s">
        <v>792</v>
      </c>
      <c r="F284" s="628">
        <v>0.3</v>
      </c>
      <c r="G284" s="628">
        <v>0.51200000000000001</v>
      </c>
      <c r="H284" s="628"/>
      <c r="I284" s="626">
        <f>8*0.0254*7850*3*0.0254/8</f>
        <v>15.193517999999999</v>
      </c>
      <c r="J284" s="628">
        <v>70</v>
      </c>
      <c r="K284" s="140">
        <f t="shared" si="38"/>
        <v>163.36070553599998</v>
      </c>
      <c r="L284" s="140">
        <f t="shared" si="39"/>
        <v>163.36070553599998</v>
      </c>
      <c r="M284" s="140">
        <f t="shared" si="40"/>
        <v>0</v>
      </c>
      <c r="N284" s="140">
        <f t="shared" si="41"/>
        <v>0</v>
      </c>
      <c r="O284" s="140">
        <f t="shared" si="42"/>
        <v>0</v>
      </c>
      <c r="P284" s="140">
        <f t="shared" si="43"/>
        <v>0</v>
      </c>
      <c r="Q284" s="156">
        <f t="shared" si="44"/>
        <v>31.003063253035361</v>
      </c>
      <c r="R284" s="125">
        <v>2.0405453992311302</v>
      </c>
      <c r="S284" s="73">
        <f t="shared" si="45"/>
        <v>333.34493609663616</v>
      </c>
      <c r="T284" t="s">
        <v>793</v>
      </c>
    </row>
    <row r="285" spans="1:20">
      <c r="A285" s="618" t="s">
        <v>741</v>
      </c>
      <c r="B285" s="618" t="s">
        <v>797</v>
      </c>
      <c r="C285" s="618" t="s">
        <v>876</v>
      </c>
      <c r="D285" s="631" t="s">
        <v>515</v>
      </c>
      <c r="E285" s="631" t="s">
        <v>792</v>
      </c>
      <c r="F285" s="628"/>
      <c r="G285" s="628">
        <v>0.65</v>
      </c>
      <c r="H285" s="628"/>
      <c r="I285" s="626">
        <v>3.98</v>
      </c>
      <c r="J285" s="628">
        <v>69</v>
      </c>
      <c r="K285" s="140">
        <f t="shared" si="38"/>
        <v>178.50300000000001</v>
      </c>
      <c r="L285" s="140">
        <f t="shared" si="39"/>
        <v>0</v>
      </c>
      <c r="M285" s="140">
        <f t="shared" si="40"/>
        <v>0</v>
      </c>
      <c r="N285" s="140">
        <f t="shared" si="41"/>
        <v>0</v>
      </c>
      <c r="O285" s="140">
        <f t="shared" si="42"/>
        <v>0</v>
      </c>
      <c r="P285" s="140">
        <f t="shared" si="43"/>
        <v>178.50300000000001</v>
      </c>
      <c r="Q285" s="156">
        <f t="shared" si="44"/>
        <v>12.789122438255374</v>
      </c>
      <c r="R285" s="125">
        <v>3.2133473462953202</v>
      </c>
      <c r="S285" s="73">
        <f t="shared" si="45"/>
        <v>573.5921413557536</v>
      </c>
      <c r="T285" t="s">
        <v>800</v>
      </c>
    </row>
    <row r="286" spans="1:20">
      <c r="A286" s="618" t="s">
        <v>741</v>
      </c>
      <c r="B286" s="618" t="s">
        <v>797</v>
      </c>
      <c r="C286" s="618" t="s">
        <v>876</v>
      </c>
      <c r="D286" s="631" t="s">
        <v>515</v>
      </c>
      <c r="E286" s="631" t="s">
        <v>792</v>
      </c>
      <c r="F286" s="628"/>
      <c r="G286" s="628">
        <v>1</v>
      </c>
      <c r="H286" s="628"/>
      <c r="I286" s="626">
        <v>3.98</v>
      </c>
      <c r="J286" s="628">
        <v>1</v>
      </c>
      <c r="K286" s="140">
        <f t="shared" si="38"/>
        <v>3.98</v>
      </c>
      <c r="L286" s="140">
        <f t="shared" si="39"/>
        <v>0</v>
      </c>
      <c r="M286" s="140">
        <f t="shared" si="40"/>
        <v>0</v>
      </c>
      <c r="N286" s="140">
        <f t="shared" si="41"/>
        <v>0</v>
      </c>
      <c r="O286" s="140">
        <f t="shared" si="42"/>
        <v>0</v>
      </c>
      <c r="P286" s="140">
        <f t="shared" si="43"/>
        <v>3.98</v>
      </c>
      <c r="Q286" s="156">
        <f t="shared" si="44"/>
        <v>12.789122438255374</v>
      </c>
      <c r="R286" s="125">
        <v>3.2133473462953202</v>
      </c>
      <c r="S286" s="73">
        <f t="shared" si="45"/>
        <v>12.789122438255374</v>
      </c>
      <c r="T286" t="s">
        <v>800</v>
      </c>
    </row>
    <row r="287" spans="1:20">
      <c r="A287" s="618" t="s">
        <v>741</v>
      </c>
      <c r="B287" s="618" t="s">
        <v>797</v>
      </c>
      <c r="C287" s="618" t="s">
        <v>877</v>
      </c>
      <c r="D287" s="631" t="s">
        <v>513</v>
      </c>
      <c r="E287" s="631" t="s">
        <v>799</v>
      </c>
      <c r="F287" s="628"/>
      <c r="G287" s="628"/>
      <c r="H287" s="628"/>
      <c r="I287" s="626">
        <v>3.5000000000000003E-2</v>
      </c>
      <c r="J287" s="628">
        <v>30</v>
      </c>
      <c r="K287" s="140">
        <f t="shared" si="38"/>
        <v>1.05</v>
      </c>
      <c r="L287" s="140">
        <f t="shared" si="39"/>
        <v>0</v>
      </c>
      <c r="M287" s="140">
        <f t="shared" si="40"/>
        <v>0</v>
      </c>
      <c r="N287" s="140">
        <f t="shared" si="41"/>
        <v>0</v>
      </c>
      <c r="O287" s="140">
        <f t="shared" si="42"/>
        <v>0</v>
      </c>
      <c r="P287" s="140">
        <f t="shared" si="43"/>
        <v>1.05</v>
      </c>
      <c r="Q287" s="156">
        <f t="shared" si="44"/>
        <v>0.11246715712033621</v>
      </c>
      <c r="R287" s="125">
        <v>3.2133473462953202</v>
      </c>
      <c r="S287" s="73">
        <f t="shared" si="45"/>
        <v>3.3740147136100864</v>
      </c>
      <c r="T287" t="s">
        <v>800</v>
      </c>
    </row>
    <row r="288" spans="1:20">
      <c r="A288" s="618" t="s">
        <v>741</v>
      </c>
      <c r="B288" s="618" t="s">
        <v>797</v>
      </c>
      <c r="C288" s="618" t="s">
        <v>878</v>
      </c>
      <c r="D288" s="631" t="s">
        <v>513</v>
      </c>
      <c r="E288" s="631" t="s">
        <v>799</v>
      </c>
      <c r="F288" s="628"/>
      <c r="G288" s="628"/>
      <c r="H288" s="628"/>
      <c r="I288" s="626">
        <v>0.1</v>
      </c>
      <c r="J288" s="628">
        <v>30</v>
      </c>
      <c r="K288" s="140">
        <f t="shared" si="38"/>
        <v>3</v>
      </c>
      <c r="L288" s="140">
        <f t="shared" si="39"/>
        <v>0</v>
      </c>
      <c r="M288" s="140">
        <f t="shared" si="40"/>
        <v>0</v>
      </c>
      <c r="N288" s="140">
        <f t="shared" si="41"/>
        <v>0</v>
      </c>
      <c r="O288" s="140">
        <f t="shared" si="42"/>
        <v>0</v>
      </c>
      <c r="P288" s="140">
        <f t="shared" si="43"/>
        <v>3</v>
      </c>
      <c r="Q288" s="156">
        <f t="shared" si="44"/>
        <v>0.21886495007882301</v>
      </c>
      <c r="R288" s="125">
        <v>2.1886495007882298</v>
      </c>
      <c r="S288" s="73">
        <f t="shared" si="45"/>
        <v>6.5659485023646891</v>
      </c>
      <c r="T288" t="s">
        <v>800</v>
      </c>
    </row>
    <row r="289" spans="1:20">
      <c r="A289" s="618" t="s">
        <v>741</v>
      </c>
      <c r="B289" s="618" t="s">
        <v>794</v>
      </c>
      <c r="C289" s="618" t="s">
        <v>879</v>
      </c>
      <c r="D289" s="631" t="s">
        <v>513</v>
      </c>
      <c r="E289" s="631" t="s">
        <v>799</v>
      </c>
      <c r="F289" s="628"/>
      <c r="G289" s="628">
        <v>10.239000000000001</v>
      </c>
      <c r="H289" s="628"/>
      <c r="I289" s="626">
        <f>1.5*0.0254*7850*0.0254*3/8</f>
        <v>2.848784625</v>
      </c>
      <c r="J289" s="628">
        <v>2</v>
      </c>
      <c r="K289" s="140">
        <f t="shared" si="38"/>
        <v>58.337411550750005</v>
      </c>
      <c r="L289" s="140">
        <f t="shared" si="39"/>
        <v>0</v>
      </c>
      <c r="M289" s="140">
        <f t="shared" si="40"/>
        <v>0</v>
      </c>
      <c r="N289" s="140">
        <f t="shared" si="41"/>
        <v>0</v>
      </c>
      <c r="O289" s="140">
        <f t="shared" si="42"/>
        <v>58.337411550750005</v>
      </c>
      <c r="P289" s="140">
        <f t="shared" si="43"/>
        <v>0</v>
      </c>
      <c r="Q289" s="156">
        <f t="shared" si="44"/>
        <v>6.2349910473594345</v>
      </c>
      <c r="R289" s="125">
        <v>2.1886495007882298</v>
      </c>
      <c r="S289" s="73">
        <f t="shared" si="45"/>
        <v>127.68014666782651</v>
      </c>
      <c r="T289" t="s">
        <v>793</v>
      </c>
    </row>
    <row r="290" spans="1:20">
      <c r="A290" s="618" t="s">
        <v>741</v>
      </c>
      <c r="B290" s="618" t="s">
        <v>794</v>
      </c>
      <c r="C290" s="618" t="s">
        <v>879</v>
      </c>
      <c r="D290" s="631" t="s">
        <v>513</v>
      </c>
      <c r="E290" s="631" t="s">
        <v>799</v>
      </c>
      <c r="F290" s="628"/>
      <c r="G290" s="628">
        <v>10.272</v>
      </c>
      <c r="H290" s="628"/>
      <c r="I290" s="626">
        <f>1.5*0.0254*7850*0.0254*3/8</f>
        <v>2.848784625</v>
      </c>
      <c r="J290" s="628">
        <v>2</v>
      </c>
      <c r="K290" s="140">
        <f t="shared" si="38"/>
        <v>58.525431336000004</v>
      </c>
      <c r="L290" s="140">
        <f t="shared" si="39"/>
        <v>0</v>
      </c>
      <c r="M290" s="140">
        <f t="shared" si="40"/>
        <v>0</v>
      </c>
      <c r="N290" s="140">
        <f t="shared" si="41"/>
        <v>0</v>
      </c>
      <c r="O290" s="140">
        <f t="shared" si="42"/>
        <v>58.525431336000004</v>
      </c>
      <c r="P290" s="140">
        <f t="shared" si="43"/>
        <v>0</v>
      </c>
      <c r="Q290" s="156">
        <f t="shared" si="44"/>
        <v>6.2349910473594345</v>
      </c>
      <c r="R290" s="125">
        <v>2.1886495007882298</v>
      </c>
      <c r="S290" s="73">
        <f t="shared" si="45"/>
        <v>128.09165607695223</v>
      </c>
      <c r="T290" t="s">
        <v>793</v>
      </c>
    </row>
    <row r="291" spans="1:20">
      <c r="A291" s="618" t="s">
        <v>741</v>
      </c>
      <c r="B291" s="618" t="s">
        <v>794</v>
      </c>
      <c r="C291" s="618" t="s">
        <v>880</v>
      </c>
      <c r="D291" s="631" t="s">
        <v>515</v>
      </c>
      <c r="E291" s="633" t="s">
        <v>792</v>
      </c>
      <c r="F291" s="628"/>
      <c r="G291" s="628">
        <v>1.206</v>
      </c>
      <c r="H291" s="628"/>
      <c r="I291" s="626">
        <f>8*0.0254*7850*3*0.0254/8</f>
        <v>15.193517999999999</v>
      </c>
      <c r="J291" s="628">
        <v>2</v>
      </c>
      <c r="K291" s="140">
        <f t="shared" si="38"/>
        <v>36.646765415999994</v>
      </c>
      <c r="L291" s="140">
        <f t="shared" si="39"/>
        <v>0</v>
      </c>
      <c r="M291" s="140">
        <f t="shared" si="40"/>
        <v>0</v>
      </c>
      <c r="N291" s="140">
        <f t="shared" si="41"/>
        <v>0</v>
      </c>
      <c r="O291" s="140">
        <f t="shared" si="42"/>
        <v>36.646765415999994</v>
      </c>
      <c r="P291" s="140">
        <f t="shared" si="43"/>
        <v>0</v>
      </c>
      <c r="Q291" s="156">
        <f t="shared" si="44"/>
        <v>33.253285585916984</v>
      </c>
      <c r="R291" s="157">
        <v>2.1886495007882298</v>
      </c>
      <c r="S291" s="73">
        <f t="shared" si="45"/>
        <v>80.206924833231753</v>
      </c>
      <c r="T291" t="s">
        <v>793</v>
      </c>
    </row>
    <row r="292" spans="1:20">
      <c r="A292" s="618" t="s">
        <v>741</v>
      </c>
      <c r="B292" s="618" t="s">
        <v>794</v>
      </c>
      <c r="C292" s="618" t="s">
        <v>880</v>
      </c>
      <c r="D292" s="631" t="s">
        <v>515</v>
      </c>
      <c r="E292" s="633" t="s">
        <v>792</v>
      </c>
      <c r="F292" s="628"/>
      <c r="G292" s="628">
        <v>1.208</v>
      </c>
      <c r="H292" s="628"/>
      <c r="I292" s="626">
        <f>8*0.0254*7850*3*0.0254/8</f>
        <v>15.193517999999999</v>
      </c>
      <c r="J292" s="628">
        <v>24</v>
      </c>
      <c r="K292" s="140">
        <f t="shared" si="38"/>
        <v>440.49047385599994</v>
      </c>
      <c r="L292" s="140">
        <f t="shared" si="39"/>
        <v>0</v>
      </c>
      <c r="M292" s="140">
        <f t="shared" si="40"/>
        <v>0</v>
      </c>
      <c r="N292" s="140">
        <f t="shared" si="41"/>
        <v>0</v>
      </c>
      <c r="O292" s="140">
        <f t="shared" si="42"/>
        <v>440.49047385599994</v>
      </c>
      <c r="P292" s="140">
        <f t="shared" si="43"/>
        <v>0</v>
      </c>
      <c r="Q292" s="156">
        <f t="shared" si="44"/>
        <v>33.253285585916984</v>
      </c>
      <c r="R292" s="157">
        <v>2.1886495007882298</v>
      </c>
      <c r="S292" s="73">
        <f t="shared" si="45"/>
        <v>964.07925570690509</v>
      </c>
      <c r="T292" t="s">
        <v>793</v>
      </c>
    </row>
    <row r="293" spans="1:20">
      <c r="A293" s="618" t="s">
        <v>741</v>
      </c>
      <c r="B293" s="618" t="s">
        <v>794</v>
      </c>
      <c r="C293" s="618" t="s">
        <v>880</v>
      </c>
      <c r="D293" s="631" t="s">
        <v>515</v>
      </c>
      <c r="E293" s="633" t="s">
        <v>792</v>
      </c>
      <c r="F293" s="628"/>
      <c r="G293" s="628">
        <v>1.2370000000000001</v>
      </c>
      <c r="H293" s="628"/>
      <c r="I293" s="626">
        <f>8*0.0254*7850*3*0.0254/8</f>
        <v>15.193517999999999</v>
      </c>
      <c r="J293" s="628">
        <v>2</v>
      </c>
      <c r="K293" s="140">
        <f t="shared" si="38"/>
        <v>37.588763532000002</v>
      </c>
      <c r="L293" s="140">
        <f t="shared" si="39"/>
        <v>0</v>
      </c>
      <c r="M293" s="140">
        <f t="shared" si="40"/>
        <v>0</v>
      </c>
      <c r="N293" s="140">
        <f t="shared" si="41"/>
        <v>0</v>
      </c>
      <c r="O293" s="140">
        <f t="shared" si="42"/>
        <v>37.588763532000002</v>
      </c>
      <c r="P293" s="140">
        <f t="shared" si="43"/>
        <v>0</v>
      </c>
      <c r="Q293" s="156">
        <f t="shared" si="44"/>
        <v>33.253285585916984</v>
      </c>
      <c r="R293" s="157">
        <v>2.1886495007882298</v>
      </c>
      <c r="S293" s="73">
        <f t="shared" si="45"/>
        <v>82.26862853955862</v>
      </c>
      <c r="T293" t="s">
        <v>793</v>
      </c>
    </row>
    <row r="294" spans="1:20">
      <c r="A294" s="618" t="s">
        <v>741</v>
      </c>
      <c r="B294" s="618" t="s">
        <v>794</v>
      </c>
      <c r="C294" s="618" t="s">
        <v>880</v>
      </c>
      <c r="D294" s="631" t="s">
        <v>515</v>
      </c>
      <c r="E294" s="633" t="s">
        <v>792</v>
      </c>
      <c r="F294" s="628"/>
      <c r="G294" s="628">
        <v>1.2729999999999999</v>
      </c>
      <c r="H294" s="628"/>
      <c r="I294" s="626">
        <f>8*0.0254*7850*3*0.0254/8</f>
        <v>15.193517999999999</v>
      </c>
      <c r="J294" s="628">
        <v>4</v>
      </c>
      <c r="K294" s="140">
        <f t="shared" si="38"/>
        <v>77.365393655999995</v>
      </c>
      <c r="L294" s="140">
        <f t="shared" si="39"/>
        <v>0</v>
      </c>
      <c r="M294" s="140">
        <f t="shared" si="40"/>
        <v>0</v>
      </c>
      <c r="N294" s="140">
        <f t="shared" si="41"/>
        <v>0</v>
      </c>
      <c r="O294" s="140">
        <f t="shared" si="42"/>
        <v>77.365393655999995</v>
      </c>
      <c r="P294" s="140">
        <f t="shared" si="43"/>
        <v>0</v>
      </c>
      <c r="Q294" s="156">
        <f t="shared" si="44"/>
        <v>33.253285585916984</v>
      </c>
      <c r="R294" s="157">
        <v>2.1886495007882298</v>
      </c>
      <c r="S294" s="73">
        <f t="shared" si="45"/>
        <v>169.32573020348929</v>
      </c>
      <c r="T294" t="s">
        <v>793</v>
      </c>
    </row>
    <row r="295" spans="1:20">
      <c r="A295" s="618" t="s">
        <v>741</v>
      </c>
      <c r="B295" s="618" t="s">
        <v>794</v>
      </c>
      <c r="C295" s="618" t="s">
        <v>880</v>
      </c>
      <c r="D295" s="631" t="s">
        <v>515</v>
      </c>
      <c r="E295" s="633" t="s">
        <v>792</v>
      </c>
      <c r="F295" s="628"/>
      <c r="G295" s="628">
        <v>1.2090000000000001</v>
      </c>
      <c r="H295" s="628"/>
      <c r="I295" s="626">
        <f>8*0.0254*7850*3*0.0254/8</f>
        <v>15.193517999999999</v>
      </c>
      <c r="J295" s="628">
        <v>24</v>
      </c>
      <c r="K295" s="140">
        <f t="shared" si="38"/>
        <v>440.85511828800003</v>
      </c>
      <c r="L295" s="140">
        <f t="shared" si="39"/>
        <v>0</v>
      </c>
      <c r="M295" s="140">
        <f t="shared" si="40"/>
        <v>0</v>
      </c>
      <c r="N295" s="140">
        <f t="shared" si="41"/>
        <v>0</v>
      </c>
      <c r="O295" s="140">
        <f t="shared" si="42"/>
        <v>440.85511828800003</v>
      </c>
      <c r="P295" s="140">
        <f t="shared" si="43"/>
        <v>0</v>
      </c>
      <c r="Q295" s="156">
        <f t="shared" si="44"/>
        <v>33.253285585916984</v>
      </c>
      <c r="R295" s="157">
        <v>2.1886495007882298</v>
      </c>
      <c r="S295" s="73">
        <f t="shared" si="45"/>
        <v>964.87733456096726</v>
      </c>
      <c r="T295" t="s">
        <v>793</v>
      </c>
    </row>
    <row r="296" spans="1:20">
      <c r="A296" s="618" t="s">
        <v>741</v>
      </c>
      <c r="B296" s="618" t="s">
        <v>794</v>
      </c>
      <c r="C296" s="618" t="s">
        <v>881</v>
      </c>
      <c r="D296" s="631" t="s">
        <v>515</v>
      </c>
      <c r="E296" s="631" t="s">
        <v>792</v>
      </c>
      <c r="F296" s="628"/>
      <c r="G296" s="628">
        <v>0.84199999999999997</v>
      </c>
      <c r="H296" s="628"/>
      <c r="I296" s="626">
        <v>8.64</v>
      </c>
      <c r="J296" s="628">
        <v>28</v>
      </c>
      <c r="K296" s="140">
        <f t="shared" si="38"/>
        <v>203.69664</v>
      </c>
      <c r="L296" s="140">
        <f t="shared" si="39"/>
        <v>0</v>
      </c>
      <c r="M296" s="140">
        <f t="shared" si="40"/>
        <v>0</v>
      </c>
      <c r="N296" s="140">
        <f t="shared" si="41"/>
        <v>0</v>
      </c>
      <c r="O296" s="140">
        <f t="shared" si="42"/>
        <v>203.69664</v>
      </c>
      <c r="P296" s="140">
        <f t="shared" si="43"/>
        <v>0</v>
      </c>
      <c r="Q296" s="156">
        <f t="shared" si="44"/>
        <v>18.909931686810307</v>
      </c>
      <c r="R296" s="125">
        <v>2.1886495007882298</v>
      </c>
      <c r="S296" s="73">
        <f t="shared" si="45"/>
        <v>445.82054944823977</v>
      </c>
      <c r="T296" t="s">
        <v>793</v>
      </c>
    </row>
    <row r="297" spans="1:20">
      <c r="A297" s="618" t="s">
        <v>741</v>
      </c>
      <c r="B297" s="618" t="s">
        <v>794</v>
      </c>
      <c r="C297" s="618" t="s">
        <v>795</v>
      </c>
      <c r="D297" s="631" t="s">
        <v>515</v>
      </c>
      <c r="E297" s="633" t="s">
        <v>792</v>
      </c>
      <c r="F297" s="628"/>
      <c r="G297" s="628">
        <v>1.302</v>
      </c>
      <c r="H297" s="628"/>
      <c r="I297" s="626">
        <f>8*0.0254*7850*3*0.0254/8</f>
        <v>15.193517999999999</v>
      </c>
      <c r="J297" s="628">
        <v>28</v>
      </c>
      <c r="K297" s="140">
        <f t="shared" si="38"/>
        <v>553.89489220799999</v>
      </c>
      <c r="L297" s="140">
        <f t="shared" si="39"/>
        <v>0</v>
      </c>
      <c r="M297" s="140">
        <f t="shared" si="40"/>
        <v>0</v>
      </c>
      <c r="N297" s="140">
        <f t="shared" si="41"/>
        <v>0</v>
      </c>
      <c r="O297" s="140">
        <f t="shared" si="42"/>
        <v>553.89489220799999</v>
      </c>
      <c r="P297" s="140">
        <f t="shared" si="43"/>
        <v>0</v>
      </c>
      <c r="Q297" s="156">
        <f t="shared" si="44"/>
        <v>33.253285585916984</v>
      </c>
      <c r="R297" s="157">
        <v>2.1886495007882298</v>
      </c>
      <c r="S297" s="73">
        <f t="shared" si="45"/>
        <v>1212.2817793201896</v>
      </c>
      <c r="T297" t="s">
        <v>793</v>
      </c>
    </row>
    <row r="298" spans="1:20">
      <c r="A298" s="618" t="s">
        <v>741</v>
      </c>
      <c r="B298" s="618" t="s">
        <v>790</v>
      </c>
      <c r="C298" s="618" t="s">
        <v>857</v>
      </c>
      <c r="D298" s="631" t="s">
        <v>497</v>
      </c>
      <c r="E298" s="631" t="s">
        <v>792</v>
      </c>
      <c r="F298" s="628">
        <v>0.152</v>
      </c>
      <c r="G298" s="628">
        <v>0.29799999999999999</v>
      </c>
      <c r="H298" s="628"/>
      <c r="I298" s="626">
        <f>8*0.0254*7850*3*0.0254/8</f>
        <v>15.193517999999999</v>
      </c>
      <c r="J298" s="629">
        <v>2</v>
      </c>
      <c r="K298" s="140">
        <f t="shared" si="38"/>
        <v>1.3764111826559997</v>
      </c>
      <c r="L298" s="140">
        <f t="shared" si="39"/>
        <v>1.3764111826559997</v>
      </c>
      <c r="M298" s="140">
        <f t="shared" si="40"/>
        <v>0</v>
      </c>
      <c r="N298" s="140">
        <f t="shared" si="41"/>
        <v>0</v>
      </c>
      <c r="O298" s="140">
        <f t="shared" si="42"/>
        <v>0</v>
      </c>
      <c r="P298" s="140">
        <f t="shared" si="43"/>
        <v>0</v>
      </c>
      <c r="Q298" s="156">
        <f t="shared" si="44"/>
        <v>31.003063253035361</v>
      </c>
      <c r="R298" s="125">
        <v>2.0405453992311302</v>
      </c>
      <c r="S298" s="73">
        <f t="shared" si="45"/>
        <v>2.808629506218979</v>
      </c>
      <c r="T298" t="s">
        <v>793</v>
      </c>
    </row>
    <row r="299" spans="1:20">
      <c r="A299" s="618" t="s">
        <v>741</v>
      </c>
      <c r="B299" s="618" t="s">
        <v>790</v>
      </c>
      <c r="C299" s="618" t="s">
        <v>791</v>
      </c>
      <c r="D299" s="631" t="s">
        <v>497</v>
      </c>
      <c r="E299" s="631" t="s">
        <v>792</v>
      </c>
      <c r="F299" s="627">
        <v>0.12</v>
      </c>
      <c r="G299" s="627">
        <v>0.14000000000000001</v>
      </c>
      <c r="H299" s="627"/>
      <c r="I299" s="625">
        <f>8*0.0254*7850*3*0.0254/8</f>
        <v>15.193517999999999</v>
      </c>
      <c r="J299" s="627">
        <v>2</v>
      </c>
      <c r="K299" s="140">
        <f t="shared" si="38"/>
        <v>0.51050220480000008</v>
      </c>
      <c r="L299" s="140">
        <f t="shared" si="39"/>
        <v>0.51050220480000008</v>
      </c>
      <c r="M299" s="140">
        <f t="shared" si="40"/>
        <v>0</v>
      </c>
      <c r="N299" s="140">
        <f t="shared" si="41"/>
        <v>0</v>
      </c>
      <c r="O299" s="140">
        <f t="shared" si="42"/>
        <v>0</v>
      </c>
      <c r="P299" s="140">
        <f t="shared" si="43"/>
        <v>0</v>
      </c>
      <c r="Q299" s="156">
        <f t="shared" si="44"/>
        <v>31.003063253035361</v>
      </c>
      <c r="R299" s="125">
        <v>2.0405453992311302</v>
      </c>
      <c r="S299" s="73">
        <f t="shared" si="45"/>
        <v>1.0417029253019883</v>
      </c>
      <c r="T299" t="s">
        <v>793</v>
      </c>
    </row>
    <row r="300" spans="1:20">
      <c r="A300" s="618" t="s">
        <v>741</v>
      </c>
      <c r="B300" s="618" t="s">
        <v>794</v>
      </c>
      <c r="C300" s="618" t="s">
        <v>882</v>
      </c>
      <c r="D300" s="631" t="s">
        <v>515</v>
      </c>
      <c r="E300" s="631" t="s">
        <v>792</v>
      </c>
      <c r="F300" s="628"/>
      <c r="G300" s="628">
        <v>1.127</v>
      </c>
      <c r="H300" s="628"/>
      <c r="I300" s="626">
        <v>16</v>
      </c>
      <c r="J300" s="628">
        <v>2</v>
      </c>
      <c r="K300" s="140">
        <f t="shared" si="38"/>
        <v>36.064</v>
      </c>
      <c r="L300" s="140">
        <f t="shared" si="39"/>
        <v>0</v>
      </c>
      <c r="M300" s="140">
        <f t="shared" si="40"/>
        <v>0</v>
      </c>
      <c r="N300" s="140">
        <f t="shared" si="41"/>
        <v>0</v>
      </c>
      <c r="O300" s="140">
        <f t="shared" si="42"/>
        <v>36.064</v>
      </c>
      <c r="P300" s="140">
        <f t="shared" si="43"/>
        <v>0</v>
      </c>
      <c r="Q300" s="156">
        <f t="shared" si="44"/>
        <v>35.018392012611677</v>
      </c>
      <c r="R300" s="125">
        <v>2.1886495007882298</v>
      </c>
      <c r="S300" s="73">
        <f t="shared" si="45"/>
        <v>78.931455596426716</v>
      </c>
      <c r="T300" t="s">
        <v>793</v>
      </c>
    </row>
    <row r="301" spans="1:20">
      <c r="A301" s="618" t="s">
        <v>741</v>
      </c>
      <c r="B301" s="618" t="s">
        <v>794</v>
      </c>
      <c r="C301" s="618" t="s">
        <v>883</v>
      </c>
      <c r="D301" s="631" t="s">
        <v>515</v>
      </c>
      <c r="E301" s="633" t="s">
        <v>792</v>
      </c>
      <c r="F301" s="628"/>
      <c r="G301" s="628">
        <v>1.127</v>
      </c>
      <c r="H301" s="628"/>
      <c r="I301" s="626">
        <f>8*0.0254*7850*3*0.0254/8</f>
        <v>15.193517999999999</v>
      </c>
      <c r="J301" s="628">
        <v>4</v>
      </c>
      <c r="K301" s="140">
        <f t="shared" si="38"/>
        <v>68.492379143999997</v>
      </c>
      <c r="L301" s="140">
        <f t="shared" si="39"/>
        <v>0</v>
      </c>
      <c r="M301" s="140">
        <f t="shared" si="40"/>
        <v>0</v>
      </c>
      <c r="N301" s="140">
        <f t="shared" si="41"/>
        <v>0</v>
      </c>
      <c r="O301" s="140">
        <f t="shared" si="42"/>
        <v>68.492379143999997</v>
      </c>
      <c r="P301" s="140">
        <f t="shared" si="43"/>
        <v>0</v>
      </c>
      <c r="Q301" s="156">
        <f t="shared" si="44"/>
        <v>33.253285585916984</v>
      </c>
      <c r="R301" s="157">
        <v>2.1886495007882298</v>
      </c>
      <c r="S301" s="73">
        <f t="shared" si="45"/>
        <v>149.90581142131376</v>
      </c>
      <c r="T301" t="s">
        <v>793</v>
      </c>
    </row>
    <row r="302" spans="1:20">
      <c r="A302" s="618" t="s">
        <v>741</v>
      </c>
      <c r="B302" s="618" t="s">
        <v>794</v>
      </c>
      <c r="C302" s="618" t="s">
        <v>884</v>
      </c>
      <c r="D302" s="631" t="s">
        <v>515</v>
      </c>
      <c r="E302" s="631" t="s">
        <v>792</v>
      </c>
      <c r="F302" s="630"/>
      <c r="G302" s="628">
        <v>10.44</v>
      </c>
      <c r="H302" s="628"/>
      <c r="I302" s="626">
        <v>10.6</v>
      </c>
      <c r="J302" s="628">
        <v>4</v>
      </c>
      <c r="K302" s="140">
        <f t="shared" si="38"/>
        <v>442.65599999999995</v>
      </c>
      <c r="L302" s="140">
        <f t="shared" si="39"/>
        <v>0</v>
      </c>
      <c r="M302" s="140">
        <f t="shared" si="40"/>
        <v>0</v>
      </c>
      <c r="N302" s="140">
        <f t="shared" si="41"/>
        <v>0</v>
      </c>
      <c r="O302" s="140">
        <f t="shared" si="42"/>
        <v>442.65599999999995</v>
      </c>
      <c r="P302" s="140">
        <f t="shared" si="43"/>
        <v>0</v>
      </c>
      <c r="Q302" s="156">
        <f t="shared" si="44"/>
        <v>23.199684708355235</v>
      </c>
      <c r="R302" s="125">
        <v>2.1886495007882298</v>
      </c>
      <c r="S302" s="73">
        <f t="shared" si="45"/>
        <v>968.81883342091453</v>
      </c>
      <c r="T302" t="s">
        <v>793</v>
      </c>
    </row>
    <row r="303" spans="1:20">
      <c r="A303" s="618" t="s">
        <v>741</v>
      </c>
      <c r="B303" s="618" t="s">
        <v>794</v>
      </c>
      <c r="C303" s="618" t="s">
        <v>795</v>
      </c>
      <c r="D303" s="631" t="s">
        <v>515</v>
      </c>
      <c r="E303" s="633" t="s">
        <v>792</v>
      </c>
      <c r="F303" s="628"/>
      <c r="G303" s="628">
        <v>13.237</v>
      </c>
      <c r="H303" s="628"/>
      <c r="I303" s="626">
        <f>8*0.0254*7850*3*0.0254/8</f>
        <v>15.193517999999999</v>
      </c>
      <c r="J303" s="628">
        <v>2</v>
      </c>
      <c r="K303" s="140">
        <f t="shared" si="38"/>
        <v>402.23319553199997</v>
      </c>
      <c r="L303" s="140">
        <f t="shared" si="39"/>
        <v>0</v>
      </c>
      <c r="M303" s="140">
        <f t="shared" si="40"/>
        <v>0</v>
      </c>
      <c r="N303" s="140">
        <f t="shared" si="41"/>
        <v>0</v>
      </c>
      <c r="O303" s="140">
        <f t="shared" si="42"/>
        <v>402.23319553199997</v>
      </c>
      <c r="P303" s="140">
        <f t="shared" si="43"/>
        <v>0</v>
      </c>
      <c r="Q303" s="156">
        <f t="shared" si="44"/>
        <v>33.253285585916984</v>
      </c>
      <c r="R303" s="157">
        <v>2.1886495007882298</v>
      </c>
      <c r="S303" s="73">
        <f t="shared" si="45"/>
        <v>880.34748260156618</v>
      </c>
      <c r="T303" t="s">
        <v>793</v>
      </c>
    </row>
    <row r="304" spans="1:20">
      <c r="A304" s="618" t="s">
        <v>741</v>
      </c>
      <c r="B304" s="618" t="s">
        <v>794</v>
      </c>
      <c r="C304" s="618" t="s">
        <v>880</v>
      </c>
      <c r="D304" s="631" t="s">
        <v>515</v>
      </c>
      <c r="E304" s="633" t="s">
        <v>792</v>
      </c>
      <c r="F304" s="628"/>
      <c r="G304" s="628">
        <v>12.494999999999999</v>
      </c>
      <c r="H304" s="628"/>
      <c r="I304" s="626">
        <f>8*0.0254*7850*3*0.0254/8</f>
        <v>15.193517999999999</v>
      </c>
      <c r="J304" s="628">
        <v>2</v>
      </c>
      <c r="K304" s="140">
        <f t="shared" si="38"/>
        <v>379.68601481999997</v>
      </c>
      <c r="L304" s="140">
        <f t="shared" si="39"/>
        <v>0</v>
      </c>
      <c r="M304" s="140">
        <f t="shared" si="40"/>
        <v>0</v>
      </c>
      <c r="N304" s="140">
        <f t="shared" si="41"/>
        <v>0</v>
      </c>
      <c r="O304" s="140">
        <f t="shared" si="42"/>
        <v>379.68601481999997</v>
      </c>
      <c r="P304" s="140">
        <f t="shared" si="43"/>
        <v>0</v>
      </c>
      <c r="Q304" s="156">
        <f t="shared" si="44"/>
        <v>33.253285585916984</v>
      </c>
      <c r="R304" s="157">
        <v>2.1886495007882298</v>
      </c>
      <c r="S304" s="73">
        <f t="shared" si="45"/>
        <v>830.99960679206538</v>
      </c>
      <c r="T304" t="s">
        <v>793</v>
      </c>
    </row>
    <row r="305" spans="1:20">
      <c r="A305" s="618" t="s">
        <v>741</v>
      </c>
      <c r="B305" s="618" t="s">
        <v>794</v>
      </c>
      <c r="C305" s="618" t="s">
        <v>885</v>
      </c>
      <c r="D305" s="631" t="s">
        <v>513</v>
      </c>
      <c r="E305" s="631" t="s">
        <v>799</v>
      </c>
      <c r="F305" s="628">
        <v>0.91500000000000004</v>
      </c>
      <c r="G305" s="628">
        <v>1.23</v>
      </c>
      <c r="H305" s="628"/>
      <c r="I305" s="626">
        <v>40.590000000000003</v>
      </c>
      <c r="J305" s="628">
        <v>8</v>
      </c>
      <c r="K305" s="140">
        <f t="shared" si="38"/>
        <v>365.45612400000005</v>
      </c>
      <c r="L305" s="140">
        <f t="shared" si="39"/>
        <v>0</v>
      </c>
      <c r="M305" s="140">
        <f t="shared" si="40"/>
        <v>0</v>
      </c>
      <c r="N305" s="140">
        <f t="shared" si="41"/>
        <v>0</v>
      </c>
      <c r="O305" s="140">
        <f t="shared" si="42"/>
        <v>365.45612400000005</v>
      </c>
      <c r="P305" s="140">
        <f t="shared" si="43"/>
        <v>0</v>
      </c>
      <c r="Q305" s="156">
        <f t="shared" si="44"/>
        <v>88.837283236994253</v>
      </c>
      <c r="R305" s="125">
        <v>2.1886495007882298</v>
      </c>
      <c r="S305" s="73">
        <f t="shared" si="45"/>
        <v>799.85536335260156</v>
      </c>
      <c r="T305" t="s">
        <v>793</v>
      </c>
    </row>
    <row r="306" spans="1:20">
      <c r="A306" s="618" t="s">
        <v>741</v>
      </c>
      <c r="B306" s="618" t="s">
        <v>794</v>
      </c>
      <c r="C306" s="618" t="s">
        <v>886</v>
      </c>
      <c r="D306" s="631" t="s">
        <v>515</v>
      </c>
      <c r="E306" s="633" t="s">
        <v>792</v>
      </c>
      <c r="F306" s="628"/>
      <c r="G306" s="628">
        <v>1.016</v>
      </c>
      <c r="H306" s="628"/>
      <c r="I306" s="626">
        <f>8*0.0254*7850*3*0.0254/8</f>
        <v>15.193517999999999</v>
      </c>
      <c r="J306" s="628">
        <v>2</v>
      </c>
      <c r="K306" s="140">
        <f t="shared" si="38"/>
        <v>30.873228575999999</v>
      </c>
      <c r="L306" s="140">
        <f t="shared" si="39"/>
        <v>0</v>
      </c>
      <c r="M306" s="140">
        <f t="shared" si="40"/>
        <v>0</v>
      </c>
      <c r="N306" s="140">
        <f t="shared" si="41"/>
        <v>0</v>
      </c>
      <c r="O306" s="140">
        <f t="shared" si="42"/>
        <v>30.873228575999999</v>
      </c>
      <c r="P306" s="140">
        <f t="shared" si="43"/>
        <v>0</v>
      </c>
      <c r="Q306" s="156">
        <f t="shared" si="44"/>
        <v>33.253285585916984</v>
      </c>
      <c r="R306" s="157">
        <v>2.1886495007882298</v>
      </c>
      <c r="S306" s="73">
        <f t="shared" si="45"/>
        <v>67.570676310583309</v>
      </c>
      <c r="T306" t="s">
        <v>793</v>
      </c>
    </row>
    <row r="307" spans="1:20">
      <c r="A307" s="618" t="s">
        <v>741</v>
      </c>
      <c r="B307" s="618" t="s">
        <v>794</v>
      </c>
      <c r="C307" s="618" t="s">
        <v>887</v>
      </c>
      <c r="D307" s="631" t="s">
        <v>515</v>
      </c>
      <c r="E307" s="633" t="s">
        <v>792</v>
      </c>
      <c r="F307" s="628"/>
      <c r="G307" s="628">
        <v>1.1020000000000001</v>
      </c>
      <c r="H307" s="628"/>
      <c r="I307" s="626">
        <f>8*0.0254*7850*3*0.0254/8</f>
        <v>15.193517999999999</v>
      </c>
      <c r="J307" s="628">
        <v>7</v>
      </c>
      <c r="K307" s="140">
        <f t="shared" si="38"/>
        <v>117.202797852</v>
      </c>
      <c r="L307" s="140">
        <f t="shared" si="39"/>
        <v>0</v>
      </c>
      <c r="M307" s="140">
        <f t="shared" si="40"/>
        <v>0</v>
      </c>
      <c r="N307" s="140">
        <f t="shared" si="41"/>
        <v>0</v>
      </c>
      <c r="O307" s="140">
        <f t="shared" si="42"/>
        <v>117.202797852</v>
      </c>
      <c r="P307" s="140">
        <f t="shared" si="43"/>
        <v>0</v>
      </c>
      <c r="Q307" s="156">
        <f t="shared" si="44"/>
        <v>33.253285585916984</v>
      </c>
      <c r="R307" s="157">
        <v>2.1886495007882298</v>
      </c>
      <c r="S307" s="73">
        <f t="shared" si="45"/>
        <v>256.51584500976361</v>
      </c>
      <c r="T307" t="s">
        <v>793</v>
      </c>
    </row>
    <row r="308" spans="1:20">
      <c r="A308" s="618" t="s">
        <v>741</v>
      </c>
      <c r="B308" s="618" t="s">
        <v>790</v>
      </c>
      <c r="C308" s="618" t="s">
        <v>888</v>
      </c>
      <c r="D308" s="631" t="s">
        <v>497</v>
      </c>
      <c r="E308" s="631" t="s">
        <v>792</v>
      </c>
      <c r="F308" s="628">
        <v>0.18</v>
      </c>
      <c r="G308" s="628">
        <v>0.25</v>
      </c>
      <c r="H308" s="628"/>
      <c r="I308" s="626">
        <f>8*0.0254*7850*3*0.0254/8</f>
        <v>15.193517999999999</v>
      </c>
      <c r="J308" s="628">
        <v>18</v>
      </c>
      <c r="K308" s="140">
        <f t="shared" si="38"/>
        <v>12.30674958</v>
      </c>
      <c r="L308" s="140">
        <f t="shared" si="39"/>
        <v>12.30674958</v>
      </c>
      <c r="M308" s="140">
        <f t="shared" si="40"/>
        <v>0</v>
      </c>
      <c r="N308" s="140">
        <f t="shared" si="41"/>
        <v>0</v>
      </c>
      <c r="O308" s="140">
        <f t="shared" si="42"/>
        <v>0</v>
      </c>
      <c r="P308" s="140">
        <f t="shared" si="43"/>
        <v>0</v>
      </c>
      <c r="Q308" s="156">
        <f t="shared" si="44"/>
        <v>31.003063253035361</v>
      </c>
      <c r="R308" s="125">
        <v>2.0405453992311302</v>
      </c>
      <c r="S308" s="73">
        <f t="shared" si="45"/>
        <v>25.112481234958643</v>
      </c>
      <c r="T308" t="s">
        <v>793</v>
      </c>
    </row>
    <row r="309" spans="1:20">
      <c r="A309" s="618" t="s">
        <v>741</v>
      </c>
      <c r="B309" s="618" t="s">
        <v>794</v>
      </c>
      <c r="C309" s="618" t="s">
        <v>889</v>
      </c>
      <c r="D309" s="631" t="s">
        <v>513</v>
      </c>
      <c r="E309" s="631" t="s">
        <v>799</v>
      </c>
      <c r="F309" s="628"/>
      <c r="G309" s="628">
        <v>0.218</v>
      </c>
      <c r="H309" s="628"/>
      <c r="I309" s="626">
        <v>15.8</v>
      </c>
      <c r="J309" s="628">
        <v>2</v>
      </c>
      <c r="K309" s="140">
        <f t="shared" si="38"/>
        <v>6.8888000000000007</v>
      </c>
      <c r="L309" s="140">
        <f t="shared" si="39"/>
        <v>0</v>
      </c>
      <c r="M309" s="140">
        <f t="shared" si="40"/>
        <v>0</v>
      </c>
      <c r="N309" s="140">
        <f t="shared" si="41"/>
        <v>0</v>
      </c>
      <c r="O309" s="140">
        <f t="shared" si="42"/>
        <v>6.8888000000000007</v>
      </c>
      <c r="P309" s="140">
        <f t="shared" si="43"/>
        <v>0</v>
      </c>
      <c r="Q309" s="156">
        <f t="shared" si="44"/>
        <v>34.580662112454036</v>
      </c>
      <c r="R309" s="125">
        <v>2.1886495007882298</v>
      </c>
      <c r="S309" s="73">
        <f t="shared" si="45"/>
        <v>15.07716868102996</v>
      </c>
      <c r="T309" t="s">
        <v>793</v>
      </c>
    </row>
    <row r="310" spans="1:20">
      <c r="A310" s="618" t="s">
        <v>741</v>
      </c>
      <c r="B310" s="618" t="s">
        <v>794</v>
      </c>
      <c r="C310" s="618" t="s">
        <v>889</v>
      </c>
      <c r="D310" s="631" t="s">
        <v>513</v>
      </c>
      <c r="E310" s="631" t="s">
        <v>799</v>
      </c>
      <c r="F310" s="628"/>
      <c r="G310" s="628">
        <v>0.23599999999999999</v>
      </c>
      <c r="H310" s="628"/>
      <c r="I310" s="626">
        <v>15.8</v>
      </c>
      <c r="J310" s="628">
        <v>2</v>
      </c>
      <c r="K310" s="140">
        <f t="shared" si="38"/>
        <v>7.4576000000000002</v>
      </c>
      <c r="L310" s="140">
        <f t="shared" si="39"/>
        <v>0</v>
      </c>
      <c r="M310" s="140">
        <f t="shared" si="40"/>
        <v>0</v>
      </c>
      <c r="N310" s="140">
        <f t="shared" si="41"/>
        <v>0</v>
      </c>
      <c r="O310" s="140">
        <f t="shared" si="42"/>
        <v>7.4576000000000002</v>
      </c>
      <c r="P310" s="140">
        <f t="shared" si="43"/>
        <v>0</v>
      </c>
      <c r="Q310" s="156">
        <f t="shared" si="44"/>
        <v>34.580662112454036</v>
      </c>
      <c r="R310" s="125">
        <v>2.1886495007882298</v>
      </c>
      <c r="S310" s="73">
        <f t="shared" si="45"/>
        <v>16.322072517078304</v>
      </c>
      <c r="T310" t="s">
        <v>793</v>
      </c>
    </row>
    <row r="311" spans="1:20">
      <c r="A311" s="618" t="s">
        <v>741</v>
      </c>
      <c r="B311" s="618" t="s">
        <v>794</v>
      </c>
      <c r="C311" s="618" t="s">
        <v>889</v>
      </c>
      <c r="D311" s="631" t="s">
        <v>513</v>
      </c>
      <c r="E311" s="631" t="s">
        <v>799</v>
      </c>
      <c r="F311" s="628"/>
      <c r="G311" s="628">
        <v>0.255</v>
      </c>
      <c r="H311" s="628"/>
      <c r="I311" s="626">
        <v>15.8</v>
      </c>
      <c r="J311" s="628">
        <v>2</v>
      </c>
      <c r="K311" s="140">
        <f t="shared" si="38"/>
        <v>8.0579999999999998</v>
      </c>
      <c r="L311" s="140">
        <f t="shared" si="39"/>
        <v>0</v>
      </c>
      <c r="M311" s="140">
        <f t="shared" si="40"/>
        <v>0</v>
      </c>
      <c r="N311" s="140">
        <f t="shared" si="41"/>
        <v>0</v>
      </c>
      <c r="O311" s="140">
        <f t="shared" si="42"/>
        <v>8.0579999999999998</v>
      </c>
      <c r="P311" s="140">
        <f t="shared" si="43"/>
        <v>0</v>
      </c>
      <c r="Q311" s="156">
        <f t="shared" si="44"/>
        <v>34.580662112454036</v>
      </c>
      <c r="R311" s="125">
        <v>2.1886495007882298</v>
      </c>
      <c r="S311" s="73">
        <f t="shared" si="45"/>
        <v>17.636137677351556</v>
      </c>
      <c r="T311" t="s">
        <v>793</v>
      </c>
    </row>
    <row r="312" spans="1:20">
      <c r="A312" s="618" t="s">
        <v>741</v>
      </c>
      <c r="B312" s="618" t="s">
        <v>794</v>
      </c>
      <c r="C312" s="618" t="s">
        <v>889</v>
      </c>
      <c r="D312" s="631" t="s">
        <v>513</v>
      </c>
      <c r="E312" s="631" t="s">
        <v>799</v>
      </c>
      <c r="F312" s="628"/>
      <c r="G312" s="628">
        <v>0.27400000000000002</v>
      </c>
      <c r="H312" s="628"/>
      <c r="I312" s="626">
        <v>15.8</v>
      </c>
      <c r="J312" s="628">
        <v>2</v>
      </c>
      <c r="K312" s="140">
        <f t="shared" si="38"/>
        <v>8.6584000000000003</v>
      </c>
      <c r="L312" s="140">
        <f t="shared" si="39"/>
        <v>0</v>
      </c>
      <c r="M312" s="140">
        <f t="shared" si="40"/>
        <v>0</v>
      </c>
      <c r="N312" s="140">
        <f t="shared" si="41"/>
        <v>0</v>
      </c>
      <c r="O312" s="140">
        <f t="shared" si="42"/>
        <v>8.6584000000000003</v>
      </c>
      <c r="P312" s="140">
        <f t="shared" si="43"/>
        <v>0</v>
      </c>
      <c r="Q312" s="156">
        <f t="shared" si="44"/>
        <v>34.580662112454036</v>
      </c>
      <c r="R312" s="125">
        <v>2.1886495007882298</v>
      </c>
      <c r="S312" s="73">
        <f t="shared" si="45"/>
        <v>18.950202837624811</v>
      </c>
      <c r="T312" t="s">
        <v>793</v>
      </c>
    </row>
    <row r="313" spans="1:20">
      <c r="A313" s="618" t="s">
        <v>741</v>
      </c>
      <c r="B313" s="618" t="s">
        <v>794</v>
      </c>
      <c r="C313" s="618" t="s">
        <v>889</v>
      </c>
      <c r="D313" s="631" t="s">
        <v>513</v>
      </c>
      <c r="E313" s="631" t="s">
        <v>799</v>
      </c>
      <c r="F313" s="628"/>
      <c r="G313" s="628">
        <v>0.27800000000000002</v>
      </c>
      <c r="H313" s="628"/>
      <c r="I313" s="626">
        <v>15.8</v>
      </c>
      <c r="J313" s="628">
        <v>2</v>
      </c>
      <c r="K313" s="140">
        <f t="shared" si="38"/>
        <v>8.7848000000000006</v>
      </c>
      <c r="L313" s="140">
        <f t="shared" si="39"/>
        <v>0</v>
      </c>
      <c r="M313" s="140">
        <f t="shared" si="40"/>
        <v>0</v>
      </c>
      <c r="N313" s="140">
        <f t="shared" si="41"/>
        <v>0</v>
      </c>
      <c r="O313" s="140">
        <f t="shared" si="42"/>
        <v>8.7848000000000006</v>
      </c>
      <c r="P313" s="140">
        <f t="shared" si="43"/>
        <v>0</v>
      </c>
      <c r="Q313" s="156">
        <f t="shared" si="44"/>
        <v>34.580662112454036</v>
      </c>
      <c r="R313" s="125">
        <v>2.1886495007882298</v>
      </c>
      <c r="S313" s="73">
        <f t="shared" si="45"/>
        <v>19.226848134524442</v>
      </c>
      <c r="T313" t="s">
        <v>793</v>
      </c>
    </row>
    <row r="314" spans="1:20">
      <c r="A314" s="618" t="s">
        <v>741</v>
      </c>
      <c r="B314" s="618" t="s">
        <v>794</v>
      </c>
      <c r="C314" s="618" t="s">
        <v>889</v>
      </c>
      <c r="D314" s="631" t="s">
        <v>513</v>
      </c>
      <c r="E314" s="631" t="s">
        <v>799</v>
      </c>
      <c r="F314" s="628"/>
      <c r="G314" s="628">
        <v>0.24399999999999999</v>
      </c>
      <c r="H314" s="628"/>
      <c r="I314" s="626">
        <v>15.8</v>
      </c>
      <c r="J314" s="628">
        <v>2</v>
      </c>
      <c r="K314" s="140">
        <f t="shared" si="38"/>
        <v>7.7103999999999999</v>
      </c>
      <c r="L314" s="140">
        <f t="shared" si="39"/>
        <v>0</v>
      </c>
      <c r="M314" s="140">
        <f t="shared" si="40"/>
        <v>0</v>
      </c>
      <c r="N314" s="140">
        <f t="shared" si="41"/>
        <v>0</v>
      </c>
      <c r="O314" s="140">
        <f t="shared" si="42"/>
        <v>7.7103999999999999</v>
      </c>
      <c r="P314" s="140">
        <f t="shared" si="43"/>
        <v>0</v>
      </c>
      <c r="Q314" s="156">
        <f t="shared" si="44"/>
        <v>34.580662112454036</v>
      </c>
      <c r="R314" s="125">
        <v>2.1886495007882298</v>
      </c>
      <c r="S314" s="73">
        <f t="shared" si="45"/>
        <v>16.875363110877569</v>
      </c>
      <c r="T314" t="s">
        <v>793</v>
      </c>
    </row>
    <row r="315" spans="1:20">
      <c r="A315" s="618" t="s">
        <v>741</v>
      </c>
      <c r="B315" s="618" t="s">
        <v>794</v>
      </c>
      <c r="C315" s="618" t="s">
        <v>889</v>
      </c>
      <c r="D315" s="631" t="s">
        <v>513</v>
      </c>
      <c r="E315" s="631" t="s">
        <v>799</v>
      </c>
      <c r="F315" s="628"/>
      <c r="G315" s="628">
        <v>0.21</v>
      </c>
      <c r="H315" s="628"/>
      <c r="I315" s="626">
        <v>15.8</v>
      </c>
      <c r="J315" s="628">
        <v>2</v>
      </c>
      <c r="K315" s="140">
        <f t="shared" si="38"/>
        <v>6.6360000000000001</v>
      </c>
      <c r="L315" s="140">
        <f t="shared" si="39"/>
        <v>0</v>
      </c>
      <c r="M315" s="140">
        <f t="shared" si="40"/>
        <v>0</v>
      </c>
      <c r="N315" s="140">
        <f t="shared" si="41"/>
        <v>0</v>
      </c>
      <c r="O315" s="140">
        <f t="shared" si="42"/>
        <v>6.6360000000000001</v>
      </c>
      <c r="P315" s="140">
        <f t="shared" si="43"/>
        <v>0</v>
      </c>
      <c r="Q315" s="156">
        <f t="shared" si="44"/>
        <v>34.580662112454036</v>
      </c>
      <c r="R315" s="125">
        <v>2.1886495007882298</v>
      </c>
      <c r="S315" s="73">
        <f t="shared" si="45"/>
        <v>14.523878087230694</v>
      </c>
      <c r="T315" t="s">
        <v>793</v>
      </c>
    </row>
    <row r="316" spans="1:20">
      <c r="A316" s="618" t="s">
        <v>741</v>
      </c>
      <c r="B316" s="618" t="s">
        <v>794</v>
      </c>
      <c r="C316" s="618" t="s">
        <v>889</v>
      </c>
      <c r="D316" s="631" t="s">
        <v>513</v>
      </c>
      <c r="E316" s="631" t="s">
        <v>799</v>
      </c>
      <c r="F316" s="628"/>
      <c r="G316" s="628">
        <v>0.17599999999999999</v>
      </c>
      <c r="H316" s="628"/>
      <c r="I316" s="626">
        <v>15.8</v>
      </c>
      <c r="J316" s="628">
        <v>2</v>
      </c>
      <c r="K316" s="140">
        <f t="shared" si="38"/>
        <v>5.5616000000000003</v>
      </c>
      <c r="L316" s="140">
        <f t="shared" si="39"/>
        <v>0</v>
      </c>
      <c r="M316" s="140">
        <f t="shared" si="40"/>
        <v>0</v>
      </c>
      <c r="N316" s="140">
        <f t="shared" si="41"/>
        <v>0</v>
      </c>
      <c r="O316" s="140">
        <f t="shared" si="42"/>
        <v>5.5616000000000003</v>
      </c>
      <c r="P316" s="140">
        <f t="shared" si="43"/>
        <v>0</v>
      </c>
      <c r="Q316" s="156">
        <f t="shared" si="44"/>
        <v>34.580662112454036</v>
      </c>
      <c r="R316" s="125">
        <v>2.1886495007882298</v>
      </c>
      <c r="S316" s="73">
        <f t="shared" si="45"/>
        <v>12.17239306358382</v>
      </c>
      <c r="T316" t="s">
        <v>793</v>
      </c>
    </row>
    <row r="317" spans="1:20">
      <c r="A317" s="618" t="s">
        <v>741</v>
      </c>
      <c r="B317" s="618" t="s">
        <v>794</v>
      </c>
      <c r="C317" s="618" t="s">
        <v>889</v>
      </c>
      <c r="D317" s="631" t="s">
        <v>513</v>
      </c>
      <c r="E317" s="631" t="s">
        <v>799</v>
      </c>
      <c r="F317" s="628"/>
      <c r="G317" s="628">
        <v>0.14799999999999999</v>
      </c>
      <c r="H317" s="628"/>
      <c r="I317" s="626">
        <v>15.8</v>
      </c>
      <c r="J317" s="628">
        <v>2</v>
      </c>
      <c r="K317" s="140">
        <f t="shared" si="38"/>
        <v>4.6768000000000001</v>
      </c>
      <c r="L317" s="140">
        <f t="shared" si="39"/>
        <v>0</v>
      </c>
      <c r="M317" s="140">
        <f t="shared" si="40"/>
        <v>0</v>
      </c>
      <c r="N317" s="140">
        <f t="shared" si="41"/>
        <v>0</v>
      </c>
      <c r="O317" s="140">
        <f t="shared" si="42"/>
        <v>4.6768000000000001</v>
      </c>
      <c r="P317" s="140">
        <f t="shared" si="43"/>
        <v>0</v>
      </c>
      <c r="Q317" s="156">
        <f t="shared" si="44"/>
        <v>34.580662112454036</v>
      </c>
      <c r="R317" s="125">
        <v>2.1886495007882298</v>
      </c>
      <c r="S317" s="73">
        <f t="shared" si="45"/>
        <v>10.235875985286393</v>
      </c>
      <c r="T317" t="s">
        <v>793</v>
      </c>
    </row>
    <row r="318" spans="1:20">
      <c r="A318" s="618" t="s">
        <v>741</v>
      </c>
      <c r="B318" s="618" t="s">
        <v>794</v>
      </c>
      <c r="C318" s="618" t="s">
        <v>855</v>
      </c>
      <c r="D318" s="631" t="s">
        <v>515</v>
      </c>
      <c r="E318" s="633" t="s">
        <v>792</v>
      </c>
      <c r="F318" s="628"/>
      <c r="G318" s="628">
        <v>10</v>
      </c>
      <c r="H318" s="628"/>
      <c r="I318" s="626">
        <f>8*0.0254*7850*3*0.0254/8</f>
        <v>15.193517999999999</v>
      </c>
      <c r="J318" s="628">
        <v>2</v>
      </c>
      <c r="K318" s="140">
        <f t="shared" si="38"/>
        <v>303.87036000000001</v>
      </c>
      <c r="L318" s="140">
        <f t="shared" si="39"/>
        <v>0</v>
      </c>
      <c r="M318" s="140">
        <f t="shared" si="40"/>
        <v>0</v>
      </c>
      <c r="N318" s="140">
        <f t="shared" si="41"/>
        <v>0</v>
      </c>
      <c r="O318" s="140">
        <f t="shared" si="42"/>
        <v>303.87036000000001</v>
      </c>
      <c r="P318" s="140">
        <f t="shared" si="43"/>
        <v>0</v>
      </c>
      <c r="Q318" s="156">
        <f t="shared" si="44"/>
        <v>33.253285585916984</v>
      </c>
      <c r="R318" s="157">
        <v>2.1886495007882298</v>
      </c>
      <c r="S318" s="73">
        <f t="shared" si="45"/>
        <v>665.06571171833968</v>
      </c>
      <c r="T318" t="s">
        <v>793</v>
      </c>
    </row>
    <row r="319" spans="1:20">
      <c r="A319" s="618" t="s">
        <v>742</v>
      </c>
      <c r="B319" s="618" t="s">
        <v>790</v>
      </c>
      <c r="C319" s="618" t="s">
        <v>814</v>
      </c>
      <c r="D319" s="631" t="s">
        <v>497</v>
      </c>
      <c r="E319" s="631" t="s">
        <v>792</v>
      </c>
      <c r="F319" s="628">
        <v>0.14499999999999999</v>
      </c>
      <c r="G319" s="628">
        <v>0.35</v>
      </c>
      <c r="H319" s="628"/>
      <c r="I319" s="626">
        <f>8*0.0254*7850*3*0.0254/8</f>
        <v>15.193517999999999</v>
      </c>
      <c r="J319" s="628">
        <v>102</v>
      </c>
      <c r="K319" s="140">
        <f t="shared" si="38"/>
        <v>78.649245926999996</v>
      </c>
      <c r="L319" s="140">
        <f t="shared" si="39"/>
        <v>78.649245926999996</v>
      </c>
      <c r="M319" s="140">
        <f t="shared" si="40"/>
        <v>0</v>
      </c>
      <c r="N319" s="140">
        <f t="shared" si="41"/>
        <v>0</v>
      </c>
      <c r="O319" s="140">
        <f t="shared" si="42"/>
        <v>0</v>
      </c>
      <c r="P319" s="140">
        <f t="shared" si="43"/>
        <v>0</v>
      </c>
      <c r="Q319" s="156">
        <f t="shared" si="44"/>
        <v>31.003063253035361</v>
      </c>
      <c r="R319" s="125">
        <v>2.0405453992311302</v>
      </c>
      <c r="S319" s="73">
        <f t="shared" si="45"/>
        <v>160.48735692933755</v>
      </c>
      <c r="T319" t="s">
        <v>793</v>
      </c>
    </row>
    <row r="320" spans="1:20">
      <c r="A320" s="618" t="s">
        <v>742</v>
      </c>
      <c r="B320" s="618" t="s">
        <v>797</v>
      </c>
      <c r="C320" s="618" t="s">
        <v>890</v>
      </c>
      <c r="D320" s="631" t="s">
        <v>513</v>
      </c>
      <c r="E320" s="631" t="s">
        <v>799</v>
      </c>
      <c r="F320" s="628"/>
      <c r="G320" s="628">
        <v>1</v>
      </c>
      <c r="H320" s="628"/>
      <c r="I320" s="626">
        <v>0.1</v>
      </c>
      <c r="J320" s="628">
        <v>204</v>
      </c>
      <c r="K320" s="140">
        <f t="shared" si="38"/>
        <v>20.400000000000002</v>
      </c>
      <c r="L320" s="140">
        <f t="shared" si="39"/>
        <v>0</v>
      </c>
      <c r="M320" s="140">
        <f t="shared" si="40"/>
        <v>0</v>
      </c>
      <c r="N320" s="140">
        <f t="shared" si="41"/>
        <v>0</v>
      </c>
      <c r="O320" s="140">
        <f t="shared" si="42"/>
        <v>0</v>
      </c>
      <c r="P320" s="140">
        <f t="shared" si="43"/>
        <v>20.400000000000002</v>
      </c>
      <c r="Q320" s="156">
        <f t="shared" si="44"/>
        <v>0.32133473462953205</v>
      </c>
      <c r="R320" s="125">
        <v>3.2133473462953202</v>
      </c>
      <c r="S320" s="73">
        <f t="shared" si="45"/>
        <v>65.552285864424533</v>
      </c>
      <c r="T320" t="s">
        <v>800</v>
      </c>
    </row>
    <row r="321" spans="1:20">
      <c r="A321" s="618" t="s">
        <v>742</v>
      </c>
      <c r="B321" s="618" t="s">
        <v>797</v>
      </c>
      <c r="C321" s="618" t="s">
        <v>891</v>
      </c>
      <c r="D321" s="631" t="s">
        <v>515</v>
      </c>
      <c r="E321" s="631" t="s">
        <v>792</v>
      </c>
      <c r="F321" s="628"/>
      <c r="G321" s="628">
        <v>7.5999999999999998E-2</v>
      </c>
      <c r="H321" s="628"/>
      <c r="I321" s="626">
        <v>0.25</v>
      </c>
      <c r="J321" s="628">
        <v>102</v>
      </c>
      <c r="K321" s="140">
        <f t="shared" si="38"/>
        <v>1.9379999999999999</v>
      </c>
      <c r="L321" s="140">
        <f t="shared" si="39"/>
        <v>0</v>
      </c>
      <c r="M321" s="140">
        <f t="shared" si="40"/>
        <v>0</v>
      </c>
      <c r="N321" s="140">
        <f t="shared" si="41"/>
        <v>0</v>
      </c>
      <c r="O321" s="140">
        <f t="shared" si="42"/>
        <v>0</v>
      </c>
      <c r="P321" s="140">
        <f t="shared" si="43"/>
        <v>1.9379999999999999</v>
      </c>
      <c r="Q321" s="156">
        <f t="shared" si="44"/>
        <v>0.80333683657383004</v>
      </c>
      <c r="R321" s="125">
        <v>3.2133473462953202</v>
      </c>
      <c r="S321" s="73">
        <f t="shared" si="45"/>
        <v>6.2274671571203299</v>
      </c>
      <c r="T321" t="s">
        <v>800</v>
      </c>
    </row>
    <row r="322" spans="1:20">
      <c r="A322" s="618" t="s">
        <v>742</v>
      </c>
      <c r="B322" s="618" t="s">
        <v>797</v>
      </c>
      <c r="C322" s="618" t="s">
        <v>892</v>
      </c>
      <c r="D322" s="631" t="s">
        <v>515</v>
      </c>
      <c r="E322" s="631" t="s">
        <v>792</v>
      </c>
      <c r="F322" s="628"/>
      <c r="G322" s="628">
        <v>0.16</v>
      </c>
      <c r="H322" s="628"/>
      <c r="I322" s="626">
        <v>8.94</v>
      </c>
      <c r="J322" s="628">
        <v>102</v>
      </c>
      <c r="K322" s="140">
        <f t="shared" si="38"/>
        <v>145.90079999999998</v>
      </c>
      <c r="L322" s="140">
        <f t="shared" si="39"/>
        <v>0</v>
      </c>
      <c r="M322" s="140">
        <f t="shared" si="40"/>
        <v>0</v>
      </c>
      <c r="N322" s="140">
        <f t="shared" si="41"/>
        <v>0</v>
      </c>
      <c r="O322" s="140">
        <f t="shared" si="42"/>
        <v>0</v>
      </c>
      <c r="P322" s="140">
        <f t="shared" si="43"/>
        <v>145.90079999999998</v>
      </c>
      <c r="Q322" s="156">
        <f t="shared" si="44"/>
        <v>28.727325275880162</v>
      </c>
      <c r="R322" s="125">
        <v>3.2133473462953202</v>
      </c>
      <c r="S322" s="73">
        <f t="shared" si="45"/>
        <v>468.82994850236418</v>
      </c>
      <c r="T322" t="s">
        <v>800</v>
      </c>
    </row>
    <row r="323" spans="1:20">
      <c r="A323" s="618" t="s">
        <v>742</v>
      </c>
      <c r="B323" s="618" t="s">
        <v>797</v>
      </c>
      <c r="C323" s="618" t="s">
        <v>893</v>
      </c>
      <c r="D323" s="631" t="s">
        <v>515</v>
      </c>
      <c r="E323" s="631" t="s">
        <v>792</v>
      </c>
      <c r="F323" s="628"/>
      <c r="G323" s="628">
        <v>0.28599999999999998</v>
      </c>
      <c r="H323" s="628"/>
      <c r="I323" s="626">
        <v>0.56000000000000005</v>
      </c>
      <c r="J323" s="628">
        <v>102</v>
      </c>
      <c r="K323" s="140">
        <f t="shared" ref="K323:K386" si="46">PRODUCT(F323:J323)</f>
        <v>16.336320000000001</v>
      </c>
      <c r="L323" s="140">
        <f t="shared" ref="L323:L386" si="47">IF(B323="Lámina",K323,0)</f>
        <v>0</v>
      </c>
      <c r="M323" s="140">
        <f t="shared" ref="M323:M386" si="48">IF(B323="Tubería",K323,0)</f>
        <v>0</v>
      </c>
      <c r="N323" s="140">
        <f t="shared" ref="N323:N386" si="49">IF(B323="Accesorio",K323,0)</f>
        <v>0</v>
      </c>
      <c r="O323" s="140">
        <f t="shared" ref="O323:O386" si="50">IF(B323="Perfil",K323,0)</f>
        <v>0</v>
      </c>
      <c r="P323" s="140">
        <f t="shared" ref="P323:P386" si="51">IF(B323="Tornillería",K323,0)</f>
        <v>16.336320000000001</v>
      </c>
      <c r="Q323" s="156">
        <f t="shared" ref="Q323:Q346" si="52">I323*R323</f>
        <v>1.7994745139253794</v>
      </c>
      <c r="R323" s="125">
        <v>3.2133473462953202</v>
      </c>
      <c r="S323" s="73">
        <f t="shared" ref="S323:S386" si="53">R323*K323</f>
        <v>52.494270520231169</v>
      </c>
      <c r="T323" t="s">
        <v>800</v>
      </c>
    </row>
    <row r="324" spans="1:20">
      <c r="A324" s="618" t="s">
        <v>742</v>
      </c>
      <c r="B324" s="618" t="s">
        <v>790</v>
      </c>
      <c r="C324" s="618" t="s">
        <v>814</v>
      </c>
      <c r="D324" s="631" t="s">
        <v>497</v>
      </c>
      <c r="E324" s="631" t="s">
        <v>792</v>
      </c>
      <c r="F324" s="628"/>
      <c r="G324" s="628"/>
      <c r="H324" s="627">
        <f>0.12*0.12*3.1416/4</f>
        <v>1.130976E-2</v>
      </c>
      <c r="I324" s="626">
        <f>8*0.0254*7850*3*0.0254/8</f>
        <v>15.193517999999999</v>
      </c>
      <c r="J324" s="628">
        <v>102</v>
      </c>
      <c r="K324" s="140">
        <f t="shared" si="46"/>
        <v>17.527174297839359</v>
      </c>
      <c r="L324" s="140">
        <f t="shared" si="47"/>
        <v>17.527174297839359</v>
      </c>
      <c r="M324" s="140">
        <f t="shared" si="48"/>
        <v>0</v>
      </c>
      <c r="N324" s="140">
        <f t="shared" si="49"/>
        <v>0</v>
      </c>
      <c r="O324" s="140">
        <f t="shared" si="50"/>
        <v>0</v>
      </c>
      <c r="P324" s="140">
        <f t="shared" si="51"/>
        <v>0</v>
      </c>
      <c r="Q324" s="156">
        <f t="shared" si="52"/>
        <v>31.003063253035361</v>
      </c>
      <c r="R324" s="125">
        <v>2.0405453992311302</v>
      </c>
      <c r="S324" s="73">
        <f t="shared" si="53"/>
        <v>35.764994874978221</v>
      </c>
      <c r="T324" t="s">
        <v>793</v>
      </c>
    </row>
    <row r="325" spans="1:20">
      <c r="A325" s="618" t="s">
        <v>742</v>
      </c>
      <c r="B325" s="618" t="s">
        <v>815</v>
      </c>
      <c r="C325" s="618" t="s">
        <v>894</v>
      </c>
      <c r="D325" s="631" t="s">
        <v>515</v>
      </c>
      <c r="E325" s="631" t="s">
        <v>817</v>
      </c>
      <c r="F325" s="628"/>
      <c r="G325" s="628">
        <v>1.276</v>
      </c>
      <c r="H325" s="628"/>
      <c r="I325" s="626">
        <v>22.32</v>
      </c>
      <c r="J325" s="628">
        <v>16</v>
      </c>
      <c r="K325" s="140">
        <f t="shared" si="46"/>
        <v>455.68512000000004</v>
      </c>
      <c r="L325" s="140">
        <f t="shared" si="47"/>
        <v>0</v>
      </c>
      <c r="M325" s="140">
        <f t="shared" si="48"/>
        <v>455.68512000000004</v>
      </c>
      <c r="N325" s="140">
        <f t="shared" si="49"/>
        <v>0</v>
      </c>
      <c r="O325" s="140">
        <f t="shared" si="50"/>
        <v>0</v>
      </c>
      <c r="P325" s="140">
        <f t="shared" si="51"/>
        <v>0</v>
      </c>
      <c r="Q325" s="156">
        <f t="shared" si="52"/>
        <v>66.696100893326289</v>
      </c>
      <c r="R325" s="125">
        <v>2.98817656332107</v>
      </c>
      <c r="S325" s="73">
        <f t="shared" si="53"/>
        <v>1361.6675958381495</v>
      </c>
      <c r="T325" t="s">
        <v>793</v>
      </c>
    </row>
    <row r="326" spans="1:20">
      <c r="A326" s="618" t="s">
        <v>742</v>
      </c>
      <c r="B326" s="618" t="s">
        <v>815</v>
      </c>
      <c r="C326" s="618" t="s">
        <v>894</v>
      </c>
      <c r="D326" s="631" t="s">
        <v>515</v>
      </c>
      <c r="E326" s="631" t="s">
        <v>817</v>
      </c>
      <c r="F326" s="628"/>
      <c r="G326" s="628">
        <v>1.361</v>
      </c>
      <c r="H326" s="628"/>
      <c r="I326" s="626">
        <v>22.32</v>
      </c>
      <c r="J326" s="628">
        <v>28</v>
      </c>
      <c r="K326" s="140">
        <f t="shared" si="46"/>
        <v>850.57056</v>
      </c>
      <c r="L326" s="140">
        <f t="shared" si="47"/>
        <v>0</v>
      </c>
      <c r="M326" s="140">
        <f t="shared" si="48"/>
        <v>850.57056</v>
      </c>
      <c r="N326" s="140">
        <f t="shared" si="49"/>
        <v>0</v>
      </c>
      <c r="O326" s="140">
        <f t="shared" si="50"/>
        <v>0</v>
      </c>
      <c r="P326" s="140">
        <f t="shared" si="51"/>
        <v>0</v>
      </c>
      <c r="Q326" s="156">
        <f t="shared" si="52"/>
        <v>66.696100893326289</v>
      </c>
      <c r="R326" s="125">
        <v>2.98817656332107</v>
      </c>
      <c r="S326" s="73">
        <f t="shared" si="53"/>
        <v>2541.655012842878</v>
      </c>
      <c r="T326" t="s">
        <v>793</v>
      </c>
    </row>
    <row r="327" spans="1:20">
      <c r="A327" s="618" t="s">
        <v>742</v>
      </c>
      <c r="B327" s="618" t="s">
        <v>815</v>
      </c>
      <c r="C327" s="618" t="s">
        <v>894</v>
      </c>
      <c r="D327" s="631" t="s">
        <v>515</v>
      </c>
      <c r="E327" s="631" t="s">
        <v>817</v>
      </c>
      <c r="F327" s="628"/>
      <c r="G327" s="628">
        <v>1.5569999999999999</v>
      </c>
      <c r="H327" s="628"/>
      <c r="I327" s="626">
        <v>22.32</v>
      </c>
      <c r="J327" s="628">
        <v>28</v>
      </c>
      <c r="K327" s="140">
        <f t="shared" si="46"/>
        <v>973.06272000000001</v>
      </c>
      <c r="L327" s="140">
        <f t="shared" si="47"/>
        <v>0</v>
      </c>
      <c r="M327" s="140">
        <f t="shared" si="48"/>
        <v>973.06272000000001</v>
      </c>
      <c r="N327" s="140">
        <f t="shared" si="49"/>
        <v>0</v>
      </c>
      <c r="O327" s="140">
        <f t="shared" si="50"/>
        <v>0</v>
      </c>
      <c r="P327" s="140">
        <f t="shared" si="51"/>
        <v>0</v>
      </c>
      <c r="Q327" s="156">
        <f t="shared" si="52"/>
        <v>66.696100893326289</v>
      </c>
      <c r="R327" s="125">
        <v>2.98817656332107</v>
      </c>
      <c r="S327" s="73">
        <f t="shared" si="53"/>
        <v>2907.6832145454528</v>
      </c>
      <c r="T327" t="s">
        <v>793</v>
      </c>
    </row>
    <row r="328" spans="1:20">
      <c r="A328" s="618" t="s">
        <v>742</v>
      </c>
      <c r="B328" s="618" t="s">
        <v>815</v>
      </c>
      <c r="C328" s="618" t="s">
        <v>894</v>
      </c>
      <c r="D328" s="631" t="s">
        <v>515</v>
      </c>
      <c r="E328" s="631" t="s">
        <v>817</v>
      </c>
      <c r="F328" s="628"/>
      <c r="G328" s="628">
        <v>1.643</v>
      </c>
      <c r="H328" s="628"/>
      <c r="I328" s="626">
        <v>22.32</v>
      </c>
      <c r="J328" s="628">
        <v>30</v>
      </c>
      <c r="K328" s="140">
        <f t="shared" si="46"/>
        <v>1100.1528000000001</v>
      </c>
      <c r="L328" s="140">
        <f t="shared" si="47"/>
        <v>0</v>
      </c>
      <c r="M328" s="140">
        <f t="shared" si="48"/>
        <v>1100.1528000000001</v>
      </c>
      <c r="N328" s="140">
        <f t="shared" si="49"/>
        <v>0</v>
      </c>
      <c r="O328" s="140">
        <f t="shared" si="50"/>
        <v>0</v>
      </c>
      <c r="P328" s="140">
        <f t="shared" si="51"/>
        <v>0</v>
      </c>
      <c r="Q328" s="156">
        <f t="shared" si="52"/>
        <v>66.696100893326289</v>
      </c>
      <c r="R328" s="125">
        <v>2.98817656332107</v>
      </c>
      <c r="S328" s="73">
        <f t="shared" si="53"/>
        <v>3287.4508130320528</v>
      </c>
      <c r="T328" t="s">
        <v>793</v>
      </c>
    </row>
    <row r="329" spans="1:20">
      <c r="A329" s="618" t="s">
        <v>742</v>
      </c>
      <c r="B329" s="618" t="s">
        <v>790</v>
      </c>
      <c r="C329" s="618" t="s">
        <v>814</v>
      </c>
      <c r="D329" s="631" t="s">
        <v>497</v>
      </c>
      <c r="E329" s="631" t="s">
        <v>792</v>
      </c>
      <c r="F329" s="628"/>
      <c r="G329" s="628"/>
      <c r="H329" s="627">
        <f>((0.254*0.254*3.1416/4)-(0.12*0.12*3.1416/4))</f>
        <v>3.9361106399999998E-2</v>
      </c>
      <c r="I329" s="626">
        <f>8*0.0254*7850*3*0.0254/8</f>
        <v>15.193517999999999</v>
      </c>
      <c r="J329" s="628">
        <v>204</v>
      </c>
      <c r="K329" s="140">
        <f t="shared" si="46"/>
        <v>121.99887043201629</v>
      </c>
      <c r="L329" s="140">
        <f t="shared" si="47"/>
        <v>121.99887043201629</v>
      </c>
      <c r="M329" s="140">
        <f t="shared" si="48"/>
        <v>0</v>
      </c>
      <c r="N329" s="140">
        <f t="shared" si="49"/>
        <v>0</v>
      </c>
      <c r="O329" s="140">
        <f t="shared" si="50"/>
        <v>0</v>
      </c>
      <c r="P329" s="140">
        <f t="shared" si="51"/>
        <v>0</v>
      </c>
      <c r="Q329" s="156">
        <f t="shared" si="52"/>
        <v>31.003063253035361</v>
      </c>
      <c r="R329" s="125">
        <v>2.0405453992311302</v>
      </c>
      <c r="S329" s="73">
        <f t="shared" si="53"/>
        <v>248.9442337714456</v>
      </c>
      <c r="T329" t="s">
        <v>793</v>
      </c>
    </row>
    <row r="330" spans="1:20">
      <c r="A330" s="618" t="s">
        <v>742</v>
      </c>
      <c r="B330" s="618" t="s">
        <v>815</v>
      </c>
      <c r="C330" s="618" t="s">
        <v>895</v>
      </c>
      <c r="D330" s="631" t="s">
        <v>515</v>
      </c>
      <c r="E330" s="631" t="s">
        <v>817</v>
      </c>
      <c r="F330" s="628"/>
      <c r="G330" s="628">
        <v>3.149</v>
      </c>
      <c r="H330" s="628"/>
      <c r="I330" s="626">
        <v>15.27</v>
      </c>
      <c r="J330" s="628">
        <v>16</v>
      </c>
      <c r="K330" s="140">
        <f t="shared" si="46"/>
        <v>769.36367999999993</v>
      </c>
      <c r="L330" s="140">
        <f t="shared" si="47"/>
        <v>0</v>
      </c>
      <c r="M330" s="140">
        <f t="shared" si="48"/>
        <v>769.36367999999993</v>
      </c>
      <c r="N330" s="140">
        <f t="shared" si="49"/>
        <v>0</v>
      </c>
      <c r="O330" s="140">
        <f t="shared" si="50"/>
        <v>0</v>
      </c>
      <c r="P330" s="140">
        <f t="shared" si="51"/>
        <v>0</v>
      </c>
      <c r="Q330" s="156">
        <f t="shared" si="52"/>
        <v>45.629456121912739</v>
      </c>
      <c r="R330" s="125">
        <v>2.98817656332107</v>
      </c>
      <c r="S330" s="73">
        <f t="shared" si="53"/>
        <v>2298.9945172464513</v>
      </c>
      <c r="T330" t="s">
        <v>793</v>
      </c>
    </row>
    <row r="331" spans="1:20">
      <c r="A331" s="618" t="s">
        <v>742</v>
      </c>
      <c r="B331" s="618" t="s">
        <v>815</v>
      </c>
      <c r="C331" s="618" t="s">
        <v>895</v>
      </c>
      <c r="D331" s="631" t="s">
        <v>515</v>
      </c>
      <c r="E331" s="631" t="s">
        <v>817</v>
      </c>
      <c r="F331" s="628"/>
      <c r="G331" s="628">
        <v>3.27</v>
      </c>
      <c r="H331" s="628"/>
      <c r="I331" s="626">
        <v>15.27</v>
      </c>
      <c r="J331" s="628">
        <v>28</v>
      </c>
      <c r="K331" s="140">
        <f t="shared" si="46"/>
        <v>1398.1211999999998</v>
      </c>
      <c r="L331" s="140">
        <f t="shared" si="47"/>
        <v>0</v>
      </c>
      <c r="M331" s="140">
        <f t="shared" si="48"/>
        <v>1398.1211999999998</v>
      </c>
      <c r="N331" s="140">
        <f t="shared" si="49"/>
        <v>0</v>
      </c>
      <c r="O331" s="140">
        <f t="shared" si="50"/>
        <v>0</v>
      </c>
      <c r="P331" s="140">
        <f t="shared" si="51"/>
        <v>0</v>
      </c>
      <c r="Q331" s="156">
        <f t="shared" si="52"/>
        <v>45.629456121912739</v>
      </c>
      <c r="R331" s="125">
        <v>2.98817656332107</v>
      </c>
      <c r="S331" s="73">
        <f t="shared" si="53"/>
        <v>4177.8330025223295</v>
      </c>
      <c r="T331" t="s">
        <v>793</v>
      </c>
    </row>
    <row r="332" spans="1:20">
      <c r="A332" s="618" t="s">
        <v>742</v>
      </c>
      <c r="B332" s="618" t="s">
        <v>815</v>
      </c>
      <c r="C332" s="618" t="s">
        <v>895</v>
      </c>
      <c r="D332" s="631" t="s">
        <v>515</v>
      </c>
      <c r="E332" s="631" t="s">
        <v>817</v>
      </c>
      <c r="F332" s="628"/>
      <c r="G332" s="628">
        <v>3.5219999999999998</v>
      </c>
      <c r="H332" s="628"/>
      <c r="I332" s="626">
        <v>15.27</v>
      </c>
      <c r="J332" s="628">
        <v>28</v>
      </c>
      <c r="K332" s="140">
        <f t="shared" si="46"/>
        <v>1505.8663199999999</v>
      </c>
      <c r="L332" s="140">
        <f t="shared" si="47"/>
        <v>0</v>
      </c>
      <c r="M332" s="140">
        <f t="shared" si="48"/>
        <v>1505.8663199999999</v>
      </c>
      <c r="N332" s="140">
        <f t="shared" si="49"/>
        <v>0</v>
      </c>
      <c r="O332" s="140">
        <f t="shared" si="50"/>
        <v>0</v>
      </c>
      <c r="P332" s="140">
        <f t="shared" si="51"/>
        <v>0</v>
      </c>
      <c r="Q332" s="156">
        <f t="shared" si="52"/>
        <v>45.629456121912739</v>
      </c>
      <c r="R332" s="125">
        <v>2.98817656332107</v>
      </c>
      <c r="S332" s="73">
        <f t="shared" si="53"/>
        <v>4499.7944449185461</v>
      </c>
      <c r="T332" t="s">
        <v>793</v>
      </c>
    </row>
    <row r="333" spans="1:20">
      <c r="A333" s="618" t="s">
        <v>742</v>
      </c>
      <c r="B333" s="618" t="s">
        <v>815</v>
      </c>
      <c r="C333" s="618" t="s">
        <v>895</v>
      </c>
      <c r="D333" s="631" t="s">
        <v>515</v>
      </c>
      <c r="E333" s="631" t="s">
        <v>817</v>
      </c>
      <c r="F333" s="628"/>
      <c r="G333" s="628">
        <v>3.649</v>
      </c>
      <c r="H333" s="628"/>
      <c r="I333" s="626">
        <v>15.27</v>
      </c>
      <c r="J333" s="628">
        <v>30</v>
      </c>
      <c r="K333" s="140">
        <f t="shared" si="46"/>
        <v>1671.6069</v>
      </c>
      <c r="L333" s="140">
        <f t="shared" si="47"/>
        <v>0</v>
      </c>
      <c r="M333" s="140">
        <f t="shared" si="48"/>
        <v>1671.6069</v>
      </c>
      <c r="N333" s="140">
        <f t="shared" si="49"/>
        <v>0</v>
      </c>
      <c r="O333" s="140">
        <f t="shared" si="50"/>
        <v>0</v>
      </c>
      <c r="P333" s="140">
        <f t="shared" si="51"/>
        <v>0</v>
      </c>
      <c r="Q333" s="156">
        <f t="shared" si="52"/>
        <v>45.629456121912739</v>
      </c>
      <c r="R333" s="125">
        <v>2.98817656332107</v>
      </c>
      <c r="S333" s="73">
        <f t="shared" si="53"/>
        <v>4995.0565616657877</v>
      </c>
      <c r="T333" t="s">
        <v>793</v>
      </c>
    </row>
    <row r="334" spans="1:20">
      <c r="A334" s="618" t="s">
        <v>742</v>
      </c>
      <c r="B334" s="618" t="s">
        <v>790</v>
      </c>
      <c r="C334" s="618" t="s">
        <v>814</v>
      </c>
      <c r="D334" s="631" t="s">
        <v>497</v>
      </c>
      <c r="E334" s="631" t="s">
        <v>792</v>
      </c>
      <c r="F334" s="628"/>
      <c r="G334" s="628"/>
      <c r="H334" s="627">
        <f>0.5*0.5*3.1416/4</f>
        <v>0.19635</v>
      </c>
      <c r="I334" s="626">
        <f>8*0.0254*7850*3*0.0254/8</f>
        <v>15.193517999999999</v>
      </c>
      <c r="J334" s="628">
        <v>102</v>
      </c>
      <c r="K334" s="140">
        <f t="shared" si="46"/>
        <v>304.29122044859997</v>
      </c>
      <c r="L334" s="140">
        <f t="shared" si="47"/>
        <v>304.29122044859997</v>
      </c>
      <c r="M334" s="140">
        <f t="shared" si="48"/>
        <v>0</v>
      </c>
      <c r="N334" s="140">
        <f t="shared" si="49"/>
        <v>0</v>
      </c>
      <c r="O334" s="140">
        <f t="shared" si="50"/>
        <v>0</v>
      </c>
      <c r="P334" s="140">
        <f t="shared" si="51"/>
        <v>0</v>
      </c>
      <c r="Q334" s="156">
        <f t="shared" si="52"/>
        <v>31.003063253035361</v>
      </c>
      <c r="R334" s="125">
        <v>2.0405453992311302</v>
      </c>
      <c r="S334" s="73">
        <f t="shared" si="53"/>
        <v>620.92004991281624</v>
      </c>
      <c r="T334" t="s">
        <v>793</v>
      </c>
    </row>
    <row r="335" spans="1:20">
      <c r="A335" s="618" t="s">
        <v>743</v>
      </c>
      <c r="B335" s="618" t="s">
        <v>797</v>
      </c>
      <c r="C335" s="618" t="s">
        <v>896</v>
      </c>
      <c r="D335" s="631" t="s">
        <v>513</v>
      </c>
      <c r="E335" s="631" t="s">
        <v>799</v>
      </c>
      <c r="F335" s="628"/>
      <c r="G335" s="628"/>
      <c r="H335" s="628"/>
      <c r="I335" s="626">
        <v>0.1</v>
      </c>
      <c r="J335" s="628">
        <v>32</v>
      </c>
      <c r="K335" s="140">
        <f t="shared" si="46"/>
        <v>3.2</v>
      </c>
      <c r="L335" s="140">
        <f t="shared" si="47"/>
        <v>0</v>
      </c>
      <c r="M335" s="140">
        <f t="shared" si="48"/>
        <v>0</v>
      </c>
      <c r="N335" s="140">
        <f t="shared" si="49"/>
        <v>0</v>
      </c>
      <c r="O335" s="140">
        <f t="shared" si="50"/>
        <v>0</v>
      </c>
      <c r="P335" s="140">
        <f t="shared" si="51"/>
        <v>3.2</v>
      </c>
      <c r="Q335" s="156">
        <f t="shared" si="52"/>
        <v>0.32133473462953205</v>
      </c>
      <c r="R335" s="125">
        <v>3.2133473462953202</v>
      </c>
      <c r="S335" s="73">
        <f t="shared" si="53"/>
        <v>10.282711508145026</v>
      </c>
      <c r="T335" t="s">
        <v>800</v>
      </c>
    </row>
    <row r="336" spans="1:20">
      <c r="A336" s="618" t="s">
        <v>743</v>
      </c>
      <c r="B336" s="618" t="s">
        <v>797</v>
      </c>
      <c r="C336" s="618" t="s">
        <v>897</v>
      </c>
      <c r="D336" s="631" t="s">
        <v>513</v>
      </c>
      <c r="E336" s="631" t="s">
        <v>799</v>
      </c>
      <c r="F336" s="628"/>
      <c r="G336" s="628"/>
      <c r="H336" s="628"/>
      <c r="I336" s="626">
        <v>0.41</v>
      </c>
      <c r="J336" s="628">
        <v>16</v>
      </c>
      <c r="K336" s="140">
        <f t="shared" si="46"/>
        <v>6.56</v>
      </c>
      <c r="L336" s="140">
        <f t="shared" si="47"/>
        <v>0</v>
      </c>
      <c r="M336" s="140">
        <f t="shared" si="48"/>
        <v>0</v>
      </c>
      <c r="N336" s="140">
        <f t="shared" si="49"/>
        <v>0</v>
      </c>
      <c r="O336" s="140">
        <f t="shared" si="50"/>
        <v>0</v>
      </c>
      <c r="P336" s="140">
        <f t="shared" si="51"/>
        <v>6.56</v>
      </c>
      <c r="Q336" s="156">
        <f t="shared" si="52"/>
        <v>1.8528638991066717</v>
      </c>
      <c r="R336" s="125">
        <v>4.51918024172359</v>
      </c>
      <c r="S336" s="73">
        <f t="shared" si="53"/>
        <v>29.645822385706747</v>
      </c>
      <c r="T336" t="s">
        <v>800</v>
      </c>
    </row>
    <row r="337" spans="1:20">
      <c r="A337" s="618" t="s">
        <v>743</v>
      </c>
      <c r="B337" s="618" t="s">
        <v>794</v>
      </c>
      <c r="C337" s="618" t="s">
        <v>855</v>
      </c>
      <c r="D337" s="631" t="s">
        <v>515</v>
      </c>
      <c r="E337" s="633" t="s">
        <v>792</v>
      </c>
      <c r="F337" s="628"/>
      <c r="G337" s="628">
        <v>0.38900000000000001</v>
      </c>
      <c r="H337" s="628"/>
      <c r="I337" s="626">
        <f>8*0.0254*7850*3*0.0254/8</f>
        <v>15.193517999999999</v>
      </c>
      <c r="J337" s="628">
        <v>3</v>
      </c>
      <c r="K337" s="140">
        <f t="shared" si="46"/>
        <v>17.730835505999998</v>
      </c>
      <c r="L337" s="140">
        <f t="shared" si="47"/>
        <v>0</v>
      </c>
      <c r="M337" s="140">
        <f t="shared" si="48"/>
        <v>0</v>
      </c>
      <c r="N337" s="140">
        <f t="shared" si="49"/>
        <v>0</v>
      </c>
      <c r="O337" s="140">
        <f t="shared" si="50"/>
        <v>17.730835505999998</v>
      </c>
      <c r="P337" s="140">
        <f t="shared" si="51"/>
        <v>0</v>
      </c>
      <c r="Q337" s="156">
        <f t="shared" si="52"/>
        <v>33.253285585916984</v>
      </c>
      <c r="R337" s="157">
        <v>2.1886495007882298</v>
      </c>
      <c r="S337" s="73">
        <f t="shared" si="53"/>
        <v>38.806584278765115</v>
      </c>
      <c r="T337" t="s">
        <v>793</v>
      </c>
    </row>
    <row r="338" spans="1:20">
      <c r="A338" s="618" t="s">
        <v>743</v>
      </c>
      <c r="B338" s="618" t="s">
        <v>790</v>
      </c>
      <c r="C338" s="618" t="s">
        <v>814</v>
      </c>
      <c r="D338" s="631" t="s">
        <v>497</v>
      </c>
      <c r="E338" s="631" t="s">
        <v>792</v>
      </c>
      <c r="F338" s="628">
        <v>0.15</v>
      </c>
      <c r="G338" s="628">
        <v>0.15</v>
      </c>
      <c r="H338" s="628"/>
      <c r="I338" s="626">
        <f>8*0.0254*7850*3*0.0254/8</f>
        <v>15.193517999999999</v>
      </c>
      <c r="J338" s="628">
        <v>3</v>
      </c>
      <c r="K338" s="140">
        <f t="shared" si="46"/>
        <v>1.0255624649999999</v>
      </c>
      <c r="L338" s="140">
        <f t="shared" si="47"/>
        <v>1.0255624649999999</v>
      </c>
      <c r="M338" s="140">
        <f t="shared" si="48"/>
        <v>0</v>
      </c>
      <c r="N338" s="140">
        <f t="shared" si="49"/>
        <v>0</v>
      </c>
      <c r="O338" s="140">
        <f t="shared" si="50"/>
        <v>0</v>
      </c>
      <c r="P338" s="140">
        <f t="shared" si="51"/>
        <v>0</v>
      </c>
      <c r="Q338" s="156">
        <f t="shared" si="52"/>
        <v>31.003063253035361</v>
      </c>
      <c r="R338" s="125">
        <v>2.0405453992311302</v>
      </c>
      <c r="S338" s="73">
        <f t="shared" si="53"/>
        <v>2.0927067695798867</v>
      </c>
      <c r="T338" t="s">
        <v>793</v>
      </c>
    </row>
    <row r="339" spans="1:20">
      <c r="A339" s="618" t="s">
        <v>743</v>
      </c>
      <c r="B339" s="618" t="s">
        <v>790</v>
      </c>
      <c r="C339" s="618" t="s">
        <v>863</v>
      </c>
      <c r="D339" s="631" t="s">
        <v>497</v>
      </c>
      <c r="E339" s="631" t="s">
        <v>792</v>
      </c>
      <c r="F339" s="628"/>
      <c r="G339" s="628"/>
      <c r="H339" s="628">
        <f>1.05*1.05*3.1416/4</f>
        <v>0.86590350000000005</v>
      </c>
      <c r="I339" s="626">
        <f>8*0.0254*7850*3*0.0254/8</f>
        <v>15.193517999999999</v>
      </c>
      <c r="J339" s="628">
        <v>1</v>
      </c>
      <c r="K339" s="140">
        <f t="shared" si="46"/>
        <v>13.156120413512999</v>
      </c>
      <c r="L339" s="140">
        <f t="shared" si="47"/>
        <v>13.156120413512999</v>
      </c>
      <c r="M339" s="140">
        <f t="shared" si="48"/>
        <v>0</v>
      </c>
      <c r="N339" s="140">
        <f t="shared" si="49"/>
        <v>0</v>
      </c>
      <c r="O339" s="140">
        <f t="shared" si="50"/>
        <v>0</v>
      </c>
      <c r="P339" s="140">
        <f t="shared" si="51"/>
        <v>0</v>
      </c>
      <c r="Q339" s="156">
        <f t="shared" si="52"/>
        <v>31.003063253035361</v>
      </c>
      <c r="R339" s="125">
        <v>2.0405453992311302</v>
      </c>
      <c r="S339" s="73">
        <f t="shared" si="53"/>
        <v>26.845660981524706</v>
      </c>
      <c r="T339" t="s">
        <v>793</v>
      </c>
    </row>
    <row r="340" spans="1:20">
      <c r="A340" s="618" t="s">
        <v>743</v>
      </c>
      <c r="B340" s="618" t="s">
        <v>794</v>
      </c>
      <c r="C340" s="618" t="s">
        <v>898</v>
      </c>
      <c r="D340" s="631" t="s">
        <v>513</v>
      </c>
      <c r="E340" s="631" t="s">
        <v>799</v>
      </c>
      <c r="F340" s="628"/>
      <c r="G340" s="628">
        <v>3.3140000000000001</v>
      </c>
      <c r="H340" s="628"/>
      <c r="I340" s="626">
        <f>1*0.0254*7850*0.0254*3/16</f>
        <v>0.94959487499999995</v>
      </c>
      <c r="J340" s="628">
        <v>1</v>
      </c>
      <c r="K340" s="140">
        <f t="shared" si="46"/>
        <v>3.1469574157499998</v>
      </c>
      <c r="L340" s="140">
        <f t="shared" si="47"/>
        <v>0</v>
      </c>
      <c r="M340" s="140">
        <f t="shared" si="48"/>
        <v>0</v>
      </c>
      <c r="N340" s="140">
        <f t="shared" si="49"/>
        <v>0</v>
      </c>
      <c r="O340" s="140">
        <f t="shared" si="50"/>
        <v>3.1469574157499998</v>
      </c>
      <c r="P340" s="140">
        <f t="shared" si="51"/>
        <v>0</v>
      </c>
      <c r="Q340" s="156">
        <f t="shared" si="52"/>
        <v>2.0783303491198115</v>
      </c>
      <c r="R340" s="125">
        <v>2.1886495007882298</v>
      </c>
      <c r="S340" s="73">
        <f t="shared" si="53"/>
        <v>6.8875867769830545</v>
      </c>
      <c r="T340" t="s">
        <v>793</v>
      </c>
    </row>
    <row r="341" spans="1:20">
      <c r="A341" s="618" t="s">
        <v>743</v>
      </c>
      <c r="B341" s="618" t="s">
        <v>797</v>
      </c>
      <c r="C341" s="618" t="s">
        <v>899</v>
      </c>
      <c r="D341" s="631" t="s">
        <v>513</v>
      </c>
      <c r="E341" s="631" t="s">
        <v>799</v>
      </c>
      <c r="F341" s="628"/>
      <c r="G341" s="628"/>
      <c r="H341" s="628"/>
      <c r="I341" s="626">
        <v>0.06</v>
      </c>
      <c r="J341" s="628">
        <v>2</v>
      </c>
      <c r="K341" s="140">
        <f t="shared" si="46"/>
        <v>0.12</v>
      </c>
      <c r="L341" s="140">
        <f t="shared" si="47"/>
        <v>0</v>
      </c>
      <c r="M341" s="140">
        <f t="shared" si="48"/>
        <v>0</v>
      </c>
      <c r="N341" s="140">
        <f t="shared" si="49"/>
        <v>0</v>
      </c>
      <c r="O341" s="140">
        <f t="shared" si="50"/>
        <v>0</v>
      </c>
      <c r="P341" s="140">
        <f t="shared" si="51"/>
        <v>0.12</v>
      </c>
      <c r="Q341" s="156">
        <f t="shared" si="52"/>
        <v>0.1928008407777192</v>
      </c>
      <c r="R341" s="125">
        <v>3.2133473462953202</v>
      </c>
      <c r="S341" s="73">
        <f t="shared" si="53"/>
        <v>0.38560168155543839</v>
      </c>
      <c r="T341" t="s">
        <v>800</v>
      </c>
    </row>
    <row r="342" spans="1:20">
      <c r="A342" s="618" t="s">
        <v>743</v>
      </c>
      <c r="B342" s="618" t="s">
        <v>797</v>
      </c>
      <c r="C342" s="618" t="s">
        <v>900</v>
      </c>
      <c r="D342" s="631" t="s">
        <v>515</v>
      </c>
      <c r="E342" s="631" t="s">
        <v>792</v>
      </c>
      <c r="F342" s="628"/>
      <c r="G342" s="628">
        <v>0.71499999999999997</v>
      </c>
      <c r="H342" s="628"/>
      <c r="I342" s="626">
        <v>1.55</v>
      </c>
      <c r="J342" s="628">
        <v>1</v>
      </c>
      <c r="K342" s="140">
        <f t="shared" si="46"/>
        <v>1.10825</v>
      </c>
      <c r="L342" s="140">
        <f t="shared" si="47"/>
        <v>0</v>
      </c>
      <c r="M342" s="140">
        <f t="shared" si="48"/>
        <v>0</v>
      </c>
      <c r="N342" s="140">
        <f t="shared" si="49"/>
        <v>0</v>
      </c>
      <c r="O342" s="140">
        <f t="shared" si="50"/>
        <v>0</v>
      </c>
      <c r="P342" s="140">
        <f t="shared" si="51"/>
        <v>1.10825</v>
      </c>
      <c r="Q342" s="156">
        <f t="shared" si="52"/>
        <v>4.9806883867577465</v>
      </c>
      <c r="R342" s="125">
        <v>3.2133473462953202</v>
      </c>
      <c r="S342" s="73">
        <f t="shared" si="53"/>
        <v>3.5611921965317883</v>
      </c>
      <c r="T342" t="s">
        <v>800</v>
      </c>
    </row>
    <row r="343" spans="1:20">
      <c r="A343" s="618" t="s">
        <v>743</v>
      </c>
      <c r="B343" s="618" t="s">
        <v>790</v>
      </c>
      <c r="C343" s="618" t="s">
        <v>901</v>
      </c>
      <c r="D343" s="631" t="s">
        <v>497</v>
      </c>
      <c r="E343" s="631" t="s">
        <v>792</v>
      </c>
      <c r="F343" s="628">
        <v>0.11</v>
      </c>
      <c r="G343" s="628">
        <v>0.33</v>
      </c>
      <c r="H343" s="628"/>
      <c r="I343" s="626">
        <f>8*0.0254*7850*3*0.0254/8</f>
        <v>15.193517999999999</v>
      </c>
      <c r="J343" s="628">
        <v>1</v>
      </c>
      <c r="K343" s="140">
        <f t="shared" si="46"/>
        <v>0.55152470339999993</v>
      </c>
      <c r="L343" s="140">
        <f t="shared" si="47"/>
        <v>0.55152470339999993</v>
      </c>
      <c r="M343" s="140">
        <f t="shared" si="48"/>
        <v>0</v>
      </c>
      <c r="N343" s="140">
        <f t="shared" si="49"/>
        <v>0</v>
      </c>
      <c r="O343" s="140">
        <f t="shared" si="50"/>
        <v>0</v>
      </c>
      <c r="P343" s="140">
        <f t="shared" si="51"/>
        <v>0</v>
      </c>
      <c r="Q343" s="156">
        <f t="shared" si="52"/>
        <v>31.003063253035361</v>
      </c>
      <c r="R343" s="125">
        <v>2.0405453992311302</v>
      </c>
      <c r="S343" s="73">
        <f t="shared" si="53"/>
        <v>1.1254111960851836</v>
      </c>
      <c r="T343" t="s">
        <v>793</v>
      </c>
    </row>
    <row r="344" spans="1:20">
      <c r="A344" s="618" t="s">
        <v>743</v>
      </c>
      <c r="B344" s="618" t="s">
        <v>790</v>
      </c>
      <c r="C344" s="618" t="s">
        <v>901</v>
      </c>
      <c r="D344" s="631" t="s">
        <v>497</v>
      </c>
      <c r="E344" s="631" t="s">
        <v>792</v>
      </c>
      <c r="F344" s="628">
        <v>0.223</v>
      </c>
      <c r="G344" s="628">
        <v>0.33</v>
      </c>
      <c r="H344" s="628"/>
      <c r="I344" s="626">
        <f>8*0.0254*7850*3*0.0254/8</f>
        <v>15.193517999999999</v>
      </c>
      <c r="J344" s="628">
        <v>2</v>
      </c>
      <c r="K344" s="140">
        <f t="shared" si="46"/>
        <v>2.23618197924</v>
      </c>
      <c r="L344" s="140">
        <f t="shared" si="47"/>
        <v>2.23618197924</v>
      </c>
      <c r="M344" s="140">
        <f t="shared" si="48"/>
        <v>0</v>
      </c>
      <c r="N344" s="140">
        <f t="shared" si="49"/>
        <v>0</v>
      </c>
      <c r="O344" s="140">
        <f t="shared" si="50"/>
        <v>0</v>
      </c>
      <c r="P344" s="140">
        <f t="shared" si="51"/>
        <v>0</v>
      </c>
      <c r="Q344" s="156">
        <f t="shared" si="52"/>
        <v>31.003063253035361</v>
      </c>
      <c r="R344" s="125">
        <v>2.0405453992311302</v>
      </c>
      <c r="S344" s="73">
        <f t="shared" si="53"/>
        <v>4.5630308495817449</v>
      </c>
      <c r="T344" t="s">
        <v>793</v>
      </c>
    </row>
    <row r="345" spans="1:20">
      <c r="A345" s="618" t="s">
        <v>743</v>
      </c>
      <c r="B345" s="618" t="s">
        <v>790</v>
      </c>
      <c r="C345" s="618" t="s">
        <v>901</v>
      </c>
      <c r="D345" s="631" t="s">
        <v>497</v>
      </c>
      <c r="E345" s="631" t="s">
        <v>792</v>
      </c>
      <c r="F345" s="628">
        <v>0.2</v>
      </c>
      <c r="G345" s="628">
        <v>0.50800000000000001</v>
      </c>
      <c r="H345" s="628"/>
      <c r="I345" s="626">
        <f>8*0.0254*7850*3*0.0254/8</f>
        <v>15.193517999999999</v>
      </c>
      <c r="J345" s="628">
        <v>1</v>
      </c>
      <c r="K345" s="140">
        <f t="shared" si="46"/>
        <v>1.5436614288000001</v>
      </c>
      <c r="L345" s="140">
        <f t="shared" si="47"/>
        <v>1.5436614288000001</v>
      </c>
      <c r="M345" s="140">
        <f t="shared" si="48"/>
        <v>0</v>
      </c>
      <c r="N345" s="140">
        <f t="shared" si="49"/>
        <v>0</v>
      </c>
      <c r="O345" s="140">
        <f t="shared" si="50"/>
        <v>0</v>
      </c>
      <c r="P345" s="140">
        <f t="shared" si="51"/>
        <v>0</v>
      </c>
      <c r="Q345" s="156">
        <f t="shared" si="52"/>
        <v>31.003063253035361</v>
      </c>
      <c r="R345" s="125">
        <v>2.0405453992311302</v>
      </c>
      <c r="S345" s="73">
        <f t="shared" si="53"/>
        <v>3.1499112265083933</v>
      </c>
      <c r="T345" t="s">
        <v>793</v>
      </c>
    </row>
    <row r="346" spans="1:20">
      <c r="A346" s="618" t="s">
        <v>743</v>
      </c>
      <c r="B346" s="618" t="s">
        <v>815</v>
      </c>
      <c r="C346" s="618" t="s">
        <v>902</v>
      </c>
      <c r="D346" s="631" t="s">
        <v>515</v>
      </c>
      <c r="E346" s="631" t="s">
        <v>817</v>
      </c>
      <c r="F346" s="628"/>
      <c r="G346" s="628">
        <v>0.879</v>
      </c>
      <c r="H346" s="628"/>
      <c r="I346" s="626">
        <v>42.55</v>
      </c>
      <c r="J346" s="628">
        <v>1</v>
      </c>
      <c r="K346" s="140">
        <f t="shared" si="46"/>
        <v>37.401449999999997</v>
      </c>
      <c r="L346" s="140">
        <f t="shared" si="47"/>
        <v>0</v>
      </c>
      <c r="M346" s="140">
        <f t="shared" si="48"/>
        <v>37.401449999999997</v>
      </c>
      <c r="N346" s="140">
        <f t="shared" si="49"/>
        <v>0</v>
      </c>
      <c r="O346" s="140">
        <f t="shared" si="50"/>
        <v>0</v>
      </c>
      <c r="P346" s="140">
        <f t="shared" si="51"/>
        <v>0</v>
      </c>
      <c r="Q346" s="156">
        <f t="shared" si="52"/>
        <v>127.14691276931151</v>
      </c>
      <c r="R346" s="125">
        <v>2.98817656332107</v>
      </c>
      <c r="S346" s="73">
        <f t="shared" si="53"/>
        <v>111.76213632422483</v>
      </c>
      <c r="T346" t="s">
        <v>793</v>
      </c>
    </row>
    <row r="347" spans="1:20">
      <c r="A347" s="618" t="s">
        <v>743</v>
      </c>
      <c r="B347" s="618" t="s">
        <v>818</v>
      </c>
      <c r="C347" s="618" t="s">
        <v>903</v>
      </c>
      <c r="D347" s="631" t="s">
        <v>513</v>
      </c>
      <c r="E347" s="631" t="s">
        <v>799</v>
      </c>
      <c r="F347" s="628"/>
      <c r="G347" s="628"/>
      <c r="H347" s="628"/>
      <c r="I347" s="626">
        <v>20.9</v>
      </c>
      <c r="J347" s="628">
        <v>1</v>
      </c>
      <c r="K347" s="140">
        <f t="shared" si="46"/>
        <v>20.9</v>
      </c>
      <c r="L347" s="140">
        <f t="shared" si="47"/>
        <v>0</v>
      </c>
      <c r="M347" s="140">
        <f t="shared" si="48"/>
        <v>0</v>
      </c>
      <c r="N347" s="140">
        <f t="shared" si="49"/>
        <v>20.9</v>
      </c>
      <c r="O347" s="140">
        <f t="shared" si="50"/>
        <v>0</v>
      </c>
      <c r="P347" s="140">
        <f t="shared" si="51"/>
        <v>0</v>
      </c>
      <c r="Q347" s="156">
        <v>1000</v>
      </c>
      <c r="R347" s="125">
        <v>4.51918024172359</v>
      </c>
      <c r="S347" s="73">
        <f t="shared" si="53"/>
        <v>94.450867052023028</v>
      </c>
      <c r="T347" t="s">
        <v>793</v>
      </c>
    </row>
    <row r="348" spans="1:20">
      <c r="A348" s="618" t="s">
        <v>743</v>
      </c>
      <c r="B348" s="618" t="s">
        <v>815</v>
      </c>
      <c r="C348" s="618" t="s">
        <v>902</v>
      </c>
      <c r="D348" s="631" t="s">
        <v>515</v>
      </c>
      <c r="E348" s="631" t="s">
        <v>817</v>
      </c>
      <c r="F348" s="628"/>
      <c r="G348" s="628">
        <v>0.15</v>
      </c>
      <c r="H348" s="628"/>
      <c r="I348" s="626">
        <v>42.55</v>
      </c>
      <c r="J348" s="628">
        <v>1</v>
      </c>
      <c r="K348" s="140">
        <f t="shared" si="46"/>
        <v>6.3824999999999994</v>
      </c>
      <c r="L348" s="140">
        <f t="shared" si="47"/>
        <v>0</v>
      </c>
      <c r="M348" s="140">
        <f t="shared" si="48"/>
        <v>6.3824999999999994</v>
      </c>
      <c r="N348" s="140">
        <f t="shared" si="49"/>
        <v>0</v>
      </c>
      <c r="O348" s="140">
        <f t="shared" si="50"/>
        <v>0</v>
      </c>
      <c r="P348" s="140">
        <f t="shared" si="51"/>
        <v>0</v>
      </c>
      <c r="Q348" s="156">
        <f t="shared" ref="Q348:Q411" si="54">I348*R348</f>
        <v>127.14691276931151</v>
      </c>
      <c r="R348" s="125">
        <v>2.98817656332107</v>
      </c>
      <c r="S348" s="73">
        <f t="shared" si="53"/>
        <v>19.072036915396726</v>
      </c>
      <c r="T348" t="s">
        <v>793</v>
      </c>
    </row>
    <row r="349" spans="1:20">
      <c r="A349" s="618" t="s">
        <v>743</v>
      </c>
      <c r="B349" s="618" t="s">
        <v>797</v>
      </c>
      <c r="C349" s="618" t="s">
        <v>904</v>
      </c>
      <c r="D349" s="631" t="s">
        <v>513</v>
      </c>
      <c r="E349" s="631" t="s">
        <v>799</v>
      </c>
      <c r="F349" s="628"/>
      <c r="G349" s="628">
        <v>1</v>
      </c>
      <c r="H349" s="628"/>
      <c r="I349" s="626">
        <v>0.1</v>
      </c>
      <c r="J349" s="628">
        <v>1</v>
      </c>
      <c r="K349" s="140">
        <f t="shared" si="46"/>
        <v>0.1</v>
      </c>
      <c r="L349" s="140">
        <f t="shared" si="47"/>
        <v>0</v>
      </c>
      <c r="M349" s="140">
        <f t="shared" si="48"/>
        <v>0</v>
      </c>
      <c r="N349" s="140">
        <f t="shared" si="49"/>
        <v>0</v>
      </c>
      <c r="O349" s="140">
        <f t="shared" si="50"/>
        <v>0</v>
      </c>
      <c r="P349" s="140">
        <f t="shared" si="51"/>
        <v>0.1</v>
      </c>
      <c r="Q349" s="156">
        <f t="shared" si="54"/>
        <v>0.45191802417235905</v>
      </c>
      <c r="R349" s="125">
        <v>4.51918024172359</v>
      </c>
      <c r="S349" s="73">
        <f t="shared" si="53"/>
        <v>0.45191802417235905</v>
      </c>
      <c r="T349" t="s">
        <v>800</v>
      </c>
    </row>
    <row r="350" spans="1:20">
      <c r="A350" s="618" t="s">
        <v>743</v>
      </c>
      <c r="B350" s="618" t="s">
        <v>818</v>
      </c>
      <c r="C350" s="618" t="s">
        <v>905</v>
      </c>
      <c r="D350" s="631" t="s">
        <v>513</v>
      </c>
      <c r="E350" s="631" t="s">
        <v>799</v>
      </c>
      <c r="F350" s="628"/>
      <c r="G350" s="628">
        <v>1</v>
      </c>
      <c r="H350" s="628"/>
      <c r="I350" s="626">
        <v>19.05</v>
      </c>
      <c r="J350" s="628">
        <v>3</v>
      </c>
      <c r="K350" s="140">
        <f t="shared" si="46"/>
        <v>57.150000000000006</v>
      </c>
      <c r="L350" s="140">
        <f t="shared" si="47"/>
        <v>0</v>
      </c>
      <c r="M350" s="140">
        <f t="shared" si="48"/>
        <v>0</v>
      </c>
      <c r="N350" s="140">
        <f t="shared" si="49"/>
        <v>57.150000000000006</v>
      </c>
      <c r="O350" s="140">
        <f t="shared" si="50"/>
        <v>0</v>
      </c>
      <c r="P350" s="140">
        <f t="shared" si="51"/>
        <v>0</v>
      </c>
      <c r="Q350" s="156">
        <f t="shared" si="54"/>
        <v>86.090383604834386</v>
      </c>
      <c r="R350" s="125">
        <v>4.51918024172359</v>
      </c>
      <c r="S350" s="73">
        <f t="shared" si="53"/>
        <v>258.27115081450319</v>
      </c>
      <c r="T350" t="s">
        <v>793</v>
      </c>
    </row>
    <row r="351" spans="1:20">
      <c r="A351" s="618" t="s">
        <v>743</v>
      </c>
      <c r="B351" s="618" t="s">
        <v>815</v>
      </c>
      <c r="C351" s="618" t="s">
        <v>902</v>
      </c>
      <c r="D351" s="631" t="s">
        <v>515</v>
      </c>
      <c r="E351" s="631" t="s">
        <v>817</v>
      </c>
      <c r="F351" s="628"/>
      <c r="G351" s="628">
        <v>0.32900000000000001</v>
      </c>
      <c r="H351" s="628"/>
      <c r="I351" s="626">
        <v>42.55</v>
      </c>
      <c r="J351" s="628">
        <v>1</v>
      </c>
      <c r="K351" s="140">
        <f t="shared" si="46"/>
        <v>13.998949999999999</v>
      </c>
      <c r="L351" s="140">
        <f t="shared" si="47"/>
        <v>0</v>
      </c>
      <c r="M351" s="140">
        <f t="shared" si="48"/>
        <v>13.998949999999999</v>
      </c>
      <c r="N351" s="140">
        <f t="shared" si="49"/>
        <v>0</v>
      </c>
      <c r="O351" s="140">
        <f t="shared" si="50"/>
        <v>0</v>
      </c>
      <c r="P351" s="140">
        <f t="shared" si="51"/>
        <v>0</v>
      </c>
      <c r="Q351" s="156">
        <f t="shared" si="54"/>
        <v>127.14691276931151</v>
      </c>
      <c r="R351" s="125">
        <v>2.98817656332107</v>
      </c>
      <c r="S351" s="73">
        <f t="shared" si="53"/>
        <v>41.831334301103489</v>
      </c>
      <c r="T351" t="s">
        <v>793</v>
      </c>
    </row>
    <row r="352" spans="1:20">
      <c r="A352" s="618" t="s">
        <v>743</v>
      </c>
      <c r="B352" s="618" t="s">
        <v>815</v>
      </c>
      <c r="C352" s="618" t="s">
        <v>902</v>
      </c>
      <c r="D352" s="631" t="s">
        <v>515</v>
      </c>
      <c r="E352" s="631" t="s">
        <v>817</v>
      </c>
      <c r="F352" s="628"/>
      <c r="G352" s="628">
        <v>1</v>
      </c>
      <c r="H352" s="628"/>
      <c r="I352" s="626">
        <v>42.55</v>
      </c>
      <c r="J352" s="628">
        <v>1</v>
      </c>
      <c r="K352" s="140">
        <f t="shared" si="46"/>
        <v>42.55</v>
      </c>
      <c r="L352" s="140">
        <f t="shared" si="47"/>
        <v>0</v>
      </c>
      <c r="M352" s="140">
        <f t="shared" si="48"/>
        <v>42.55</v>
      </c>
      <c r="N352" s="140">
        <f t="shared" si="49"/>
        <v>0</v>
      </c>
      <c r="O352" s="140">
        <f t="shared" si="50"/>
        <v>0</v>
      </c>
      <c r="P352" s="140">
        <f t="shared" si="51"/>
        <v>0</v>
      </c>
      <c r="Q352" s="156">
        <f t="shared" si="54"/>
        <v>127.14691276931151</v>
      </c>
      <c r="R352" s="125">
        <v>2.98817656332107</v>
      </c>
      <c r="S352" s="73">
        <f t="shared" si="53"/>
        <v>127.14691276931151</v>
      </c>
      <c r="T352" t="s">
        <v>793</v>
      </c>
    </row>
    <row r="353" spans="1:20">
      <c r="A353" s="618" t="s">
        <v>743</v>
      </c>
      <c r="B353" s="618" t="s">
        <v>790</v>
      </c>
      <c r="C353" s="618" t="s">
        <v>814</v>
      </c>
      <c r="D353" s="631" t="s">
        <v>497</v>
      </c>
      <c r="E353" s="631" t="s">
        <v>792</v>
      </c>
      <c r="F353" s="628">
        <v>1.0680000000000001</v>
      </c>
      <c r="G353" s="628">
        <v>1.331</v>
      </c>
      <c r="H353" s="628"/>
      <c r="I353" s="626">
        <f>8*0.0254*7850*3*0.0254/8</f>
        <v>15.193517999999999</v>
      </c>
      <c r="J353" s="628">
        <v>1</v>
      </c>
      <c r="K353" s="140">
        <f t="shared" si="46"/>
        <v>21.597707385143998</v>
      </c>
      <c r="L353" s="140">
        <f t="shared" si="47"/>
        <v>21.597707385143998</v>
      </c>
      <c r="M353" s="140">
        <f t="shared" si="48"/>
        <v>0</v>
      </c>
      <c r="N353" s="140">
        <f t="shared" si="49"/>
        <v>0</v>
      </c>
      <c r="O353" s="140">
        <f t="shared" si="50"/>
        <v>0</v>
      </c>
      <c r="P353" s="140">
        <f t="shared" si="51"/>
        <v>0</v>
      </c>
      <c r="Q353" s="156">
        <f t="shared" si="54"/>
        <v>31.003063253035361</v>
      </c>
      <c r="R353" s="125">
        <v>2.0405453992311302</v>
      </c>
      <c r="S353" s="73">
        <f t="shared" si="53"/>
        <v>44.071102438695789</v>
      </c>
      <c r="T353" t="s">
        <v>793</v>
      </c>
    </row>
    <row r="354" spans="1:20">
      <c r="A354" s="618" t="s">
        <v>743</v>
      </c>
      <c r="B354" s="618" t="s">
        <v>790</v>
      </c>
      <c r="C354" s="618" t="s">
        <v>814</v>
      </c>
      <c r="D354" s="631" t="s">
        <v>497</v>
      </c>
      <c r="E354" s="631" t="s">
        <v>792</v>
      </c>
      <c r="F354" s="628"/>
      <c r="G354" s="628"/>
      <c r="H354" s="627">
        <f>((1.154*1.154*3.1416/4)-(0.95*0.95*3.1416/4))</f>
        <v>0.33710624639999998</v>
      </c>
      <c r="I354" s="626">
        <f>8*0.0254*7850*3*0.0254/8</f>
        <v>15.193517999999999</v>
      </c>
      <c r="J354" s="628">
        <v>1</v>
      </c>
      <c r="K354" s="140">
        <f t="shared" si="46"/>
        <v>5.1218298225908345</v>
      </c>
      <c r="L354" s="140">
        <f t="shared" si="47"/>
        <v>5.1218298225908345</v>
      </c>
      <c r="M354" s="140">
        <f t="shared" si="48"/>
        <v>0</v>
      </c>
      <c r="N354" s="140">
        <f t="shared" si="49"/>
        <v>0</v>
      </c>
      <c r="O354" s="140">
        <f t="shared" si="50"/>
        <v>0</v>
      </c>
      <c r="P354" s="140">
        <f t="shared" si="51"/>
        <v>0</v>
      </c>
      <c r="Q354" s="156">
        <f t="shared" si="54"/>
        <v>31.003063253035361</v>
      </c>
      <c r="R354" s="125">
        <v>2.0405453992311302</v>
      </c>
      <c r="S354" s="73">
        <f t="shared" si="53"/>
        <v>10.451326280132523</v>
      </c>
      <c r="T354" t="s">
        <v>793</v>
      </c>
    </row>
    <row r="355" spans="1:20">
      <c r="A355" s="618" t="s">
        <v>743</v>
      </c>
      <c r="B355" s="618" t="s">
        <v>790</v>
      </c>
      <c r="C355" s="618" t="s">
        <v>814</v>
      </c>
      <c r="D355" s="631" t="s">
        <v>497</v>
      </c>
      <c r="E355" s="631" t="s">
        <v>792</v>
      </c>
      <c r="F355" s="628">
        <v>0.57399999999999995</v>
      </c>
      <c r="G355" s="628">
        <v>3.1619999999999999</v>
      </c>
      <c r="H355" s="628"/>
      <c r="I355" s="626">
        <f>8*0.0254*7850*3*0.0254/8</f>
        <v>15.193517999999999</v>
      </c>
      <c r="J355" s="628">
        <v>1</v>
      </c>
      <c r="K355" s="140">
        <f t="shared" si="46"/>
        <v>27.576052847783995</v>
      </c>
      <c r="L355" s="140">
        <f t="shared" si="47"/>
        <v>27.576052847783995</v>
      </c>
      <c r="M355" s="140">
        <f t="shared" si="48"/>
        <v>0</v>
      </c>
      <c r="N355" s="140">
        <f t="shared" si="49"/>
        <v>0</v>
      </c>
      <c r="O355" s="140">
        <f t="shared" si="50"/>
        <v>0</v>
      </c>
      <c r="P355" s="140">
        <f t="shared" si="51"/>
        <v>0</v>
      </c>
      <c r="Q355" s="156">
        <f t="shared" si="54"/>
        <v>31.003063253035361</v>
      </c>
      <c r="R355" s="125">
        <v>2.0405453992311302</v>
      </c>
      <c r="S355" s="73">
        <f t="shared" si="53"/>
        <v>56.27018776750014</v>
      </c>
      <c r="T355" t="s">
        <v>793</v>
      </c>
    </row>
    <row r="356" spans="1:20">
      <c r="A356" s="618" t="s">
        <v>743</v>
      </c>
      <c r="B356" s="618" t="s">
        <v>815</v>
      </c>
      <c r="C356" s="618" t="s">
        <v>902</v>
      </c>
      <c r="D356" s="631" t="s">
        <v>515</v>
      </c>
      <c r="E356" s="631" t="s">
        <v>817</v>
      </c>
      <c r="F356" s="628"/>
      <c r="G356" s="628">
        <v>19.420000000000002</v>
      </c>
      <c r="H356" s="628"/>
      <c r="I356" s="626">
        <v>42.55</v>
      </c>
      <c r="J356" s="628">
        <v>1</v>
      </c>
      <c r="K356" s="140">
        <f t="shared" si="46"/>
        <v>826.32100000000003</v>
      </c>
      <c r="L356" s="140">
        <f t="shared" si="47"/>
        <v>0</v>
      </c>
      <c r="M356" s="140">
        <f t="shared" si="48"/>
        <v>826.32100000000003</v>
      </c>
      <c r="N356" s="140">
        <f t="shared" si="49"/>
        <v>0</v>
      </c>
      <c r="O356" s="140">
        <f t="shared" si="50"/>
        <v>0</v>
      </c>
      <c r="P356" s="140">
        <f t="shared" si="51"/>
        <v>0</v>
      </c>
      <c r="Q356" s="156">
        <f t="shared" si="54"/>
        <v>127.14691276931151</v>
      </c>
      <c r="R356" s="125">
        <v>2.98817656332107</v>
      </c>
      <c r="S356" s="73">
        <f t="shared" si="53"/>
        <v>2469.1930459800301</v>
      </c>
      <c r="T356" t="s">
        <v>793</v>
      </c>
    </row>
    <row r="357" spans="1:20">
      <c r="A357" s="618" t="s">
        <v>743</v>
      </c>
      <c r="B357" s="618" t="s">
        <v>818</v>
      </c>
      <c r="C357" s="618" t="s">
        <v>905</v>
      </c>
      <c r="D357" s="631" t="s">
        <v>513</v>
      </c>
      <c r="E357" s="631" t="s">
        <v>799</v>
      </c>
      <c r="F357" s="628"/>
      <c r="G357" s="628">
        <v>1</v>
      </c>
      <c r="H357" s="628"/>
      <c r="I357" s="626">
        <v>19.05</v>
      </c>
      <c r="J357" s="628">
        <v>2</v>
      </c>
      <c r="K357" s="140">
        <f t="shared" si="46"/>
        <v>38.1</v>
      </c>
      <c r="L357" s="140">
        <f t="shared" si="47"/>
        <v>0</v>
      </c>
      <c r="M357" s="140">
        <f t="shared" si="48"/>
        <v>0</v>
      </c>
      <c r="N357" s="140">
        <f t="shared" si="49"/>
        <v>38.1</v>
      </c>
      <c r="O357" s="140">
        <f t="shared" si="50"/>
        <v>0</v>
      </c>
      <c r="P357" s="140">
        <f t="shared" si="51"/>
        <v>0</v>
      </c>
      <c r="Q357" s="156">
        <f t="shared" si="54"/>
        <v>86.090383604834386</v>
      </c>
      <c r="R357" s="125">
        <v>4.51918024172359</v>
      </c>
      <c r="S357" s="73">
        <f t="shared" si="53"/>
        <v>172.18076720966877</v>
      </c>
      <c r="T357" t="s">
        <v>793</v>
      </c>
    </row>
    <row r="358" spans="1:20">
      <c r="A358" s="618" t="s">
        <v>743</v>
      </c>
      <c r="B358" s="618" t="s">
        <v>815</v>
      </c>
      <c r="C358" s="618" t="s">
        <v>902</v>
      </c>
      <c r="D358" s="631" t="s">
        <v>515</v>
      </c>
      <c r="E358" s="631" t="s">
        <v>817</v>
      </c>
      <c r="F358" s="628"/>
      <c r="G358" s="628">
        <v>9.1189999999999998</v>
      </c>
      <c r="H358" s="628"/>
      <c r="I358" s="626">
        <v>42.55</v>
      </c>
      <c r="J358" s="628">
        <v>1</v>
      </c>
      <c r="K358" s="140">
        <f t="shared" si="46"/>
        <v>388.01344999999998</v>
      </c>
      <c r="L358" s="140">
        <f t="shared" si="47"/>
        <v>0</v>
      </c>
      <c r="M358" s="140">
        <f t="shared" si="48"/>
        <v>388.01344999999998</v>
      </c>
      <c r="N358" s="140">
        <f t="shared" si="49"/>
        <v>0</v>
      </c>
      <c r="O358" s="140">
        <f t="shared" si="50"/>
        <v>0</v>
      </c>
      <c r="P358" s="140">
        <f t="shared" si="51"/>
        <v>0</v>
      </c>
      <c r="Q358" s="156">
        <f t="shared" si="54"/>
        <v>127.14691276931151</v>
      </c>
      <c r="R358" s="125">
        <v>2.98817656332107</v>
      </c>
      <c r="S358" s="73">
        <f t="shared" si="53"/>
        <v>1159.4526975433516</v>
      </c>
      <c r="T358" t="s">
        <v>793</v>
      </c>
    </row>
    <row r="359" spans="1:20">
      <c r="A359" s="618" t="s">
        <v>743</v>
      </c>
      <c r="B359" s="618" t="s">
        <v>818</v>
      </c>
      <c r="C359" s="618" t="s">
        <v>905</v>
      </c>
      <c r="D359" s="631" t="s">
        <v>513</v>
      </c>
      <c r="E359" s="631" t="s">
        <v>799</v>
      </c>
      <c r="F359" s="628"/>
      <c r="G359" s="628">
        <v>1</v>
      </c>
      <c r="H359" s="628"/>
      <c r="I359" s="626">
        <v>19.05</v>
      </c>
      <c r="J359" s="628">
        <v>2</v>
      </c>
      <c r="K359" s="140">
        <f t="shared" si="46"/>
        <v>38.1</v>
      </c>
      <c r="L359" s="140">
        <f t="shared" si="47"/>
        <v>0</v>
      </c>
      <c r="M359" s="140">
        <f t="shared" si="48"/>
        <v>0</v>
      </c>
      <c r="N359" s="140">
        <f t="shared" si="49"/>
        <v>38.1</v>
      </c>
      <c r="O359" s="140">
        <f t="shared" si="50"/>
        <v>0</v>
      </c>
      <c r="P359" s="140">
        <f t="shared" si="51"/>
        <v>0</v>
      </c>
      <c r="Q359" s="156">
        <f t="shared" si="54"/>
        <v>86.090383604834386</v>
      </c>
      <c r="R359" s="125">
        <v>4.51918024172359</v>
      </c>
      <c r="S359" s="73">
        <f t="shared" si="53"/>
        <v>172.18076720966877</v>
      </c>
      <c r="T359" t="s">
        <v>793</v>
      </c>
    </row>
    <row r="360" spans="1:20">
      <c r="A360" s="618" t="s">
        <v>743</v>
      </c>
      <c r="B360" s="618" t="s">
        <v>815</v>
      </c>
      <c r="C360" s="618" t="s">
        <v>902</v>
      </c>
      <c r="D360" s="631" t="s">
        <v>515</v>
      </c>
      <c r="E360" s="631" t="s">
        <v>817</v>
      </c>
      <c r="F360" s="628"/>
      <c r="G360" s="628">
        <v>4.851</v>
      </c>
      <c r="H360" s="628"/>
      <c r="I360" s="626">
        <v>42.55</v>
      </c>
      <c r="J360" s="628">
        <v>1</v>
      </c>
      <c r="K360" s="140">
        <f t="shared" si="46"/>
        <v>206.41004999999998</v>
      </c>
      <c r="L360" s="140">
        <f t="shared" si="47"/>
        <v>0</v>
      </c>
      <c r="M360" s="140">
        <f t="shared" si="48"/>
        <v>206.41004999999998</v>
      </c>
      <c r="N360" s="140">
        <f t="shared" si="49"/>
        <v>0</v>
      </c>
      <c r="O360" s="140">
        <f t="shared" si="50"/>
        <v>0</v>
      </c>
      <c r="P360" s="140">
        <f t="shared" si="51"/>
        <v>0</v>
      </c>
      <c r="Q360" s="156">
        <f t="shared" si="54"/>
        <v>127.14691276931151</v>
      </c>
      <c r="R360" s="125">
        <v>2.98817656332107</v>
      </c>
      <c r="S360" s="73">
        <f t="shared" si="53"/>
        <v>616.78967384393013</v>
      </c>
      <c r="T360" t="s">
        <v>793</v>
      </c>
    </row>
    <row r="361" spans="1:20">
      <c r="A361" s="618" t="s">
        <v>743</v>
      </c>
      <c r="B361" s="618" t="s">
        <v>818</v>
      </c>
      <c r="C361" s="618" t="s">
        <v>905</v>
      </c>
      <c r="D361" s="631" t="s">
        <v>513</v>
      </c>
      <c r="E361" s="631" t="s">
        <v>799</v>
      </c>
      <c r="F361" s="628"/>
      <c r="G361" s="628">
        <v>1</v>
      </c>
      <c r="H361" s="628"/>
      <c r="I361" s="626">
        <v>19.05</v>
      </c>
      <c r="J361" s="628">
        <v>2</v>
      </c>
      <c r="K361" s="140">
        <f t="shared" si="46"/>
        <v>38.1</v>
      </c>
      <c r="L361" s="140">
        <f t="shared" si="47"/>
        <v>0</v>
      </c>
      <c r="M361" s="140">
        <f t="shared" si="48"/>
        <v>0</v>
      </c>
      <c r="N361" s="140">
        <f t="shared" si="49"/>
        <v>38.1</v>
      </c>
      <c r="O361" s="140">
        <f t="shared" si="50"/>
        <v>0</v>
      </c>
      <c r="P361" s="140">
        <f t="shared" si="51"/>
        <v>0</v>
      </c>
      <c r="Q361" s="156">
        <f t="shared" si="54"/>
        <v>86.090383604834386</v>
      </c>
      <c r="R361" s="125">
        <v>4.51918024172359</v>
      </c>
      <c r="S361" s="73">
        <f t="shared" si="53"/>
        <v>172.18076720966877</v>
      </c>
      <c r="T361" t="s">
        <v>793</v>
      </c>
    </row>
    <row r="362" spans="1:20">
      <c r="A362" s="618" t="s">
        <v>743</v>
      </c>
      <c r="B362" s="618" t="s">
        <v>818</v>
      </c>
      <c r="C362" s="618" t="s">
        <v>906</v>
      </c>
      <c r="D362" s="631" t="s">
        <v>513</v>
      </c>
      <c r="E362" s="631" t="s">
        <v>907</v>
      </c>
      <c r="F362" s="628"/>
      <c r="G362" s="628">
        <v>1</v>
      </c>
      <c r="H362" s="628"/>
      <c r="I362" s="626">
        <v>6</v>
      </c>
      <c r="J362" s="628">
        <v>1</v>
      </c>
      <c r="K362" s="140">
        <f t="shared" si="46"/>
        <v>6</v>
      </c>
      <c r="L362" s="140">
        <f t="shared" si="47"/>
        <v>0</v>
      </c>
      <c r="M362" s="140">
        <f t="shared" si="48"/>
        <v>0</v>
      </c>
      <c r="N362" s="140">
        <f t="shared" si="49"/>
        <v>6</v>
      </c>
      <c r="O362" s="140">
        <f t="shared" si="50"/>
        <v>0</v>
      </c>
      <c r="P362" s="140">
        <f t="shared" si="51"/>
        <v>0</v>
      </c>
      <c r="Q362" s="156">
        <f t="shared" si="54"/>
        <v>27.115081450341542</v>
      </c>
      <c r="R362" s="125">
        <v>4.51918024172359</v>
      </c>
      <c r="S362" s="73">
        <f t="shared" si="53"/>
        <v>27.115081450341542</v>
      </c>
      <c r="T362" t="s">
        <v>793</v>
      </c>
    </row>
    <row r="363" spans="1:20">
      <c r="A363" s="618" t="s">
        <v>743</v>
      </c>
      <c r="B363" s="618" t="s">
        <v>790</v>
      </c>
      <c r="C363" s="618" t="s">
        <v>863</v>
      </c>
      <c r="D363" s="631" t="s">
        <v>497</v>
      </c>
      <c r="E363" s="631" t="s">
        <v>792</v>
      </c>
      <c r="F363" s="628">
        <f>0.1</f>
        <v>0.1</v>
      </c>
      <c r="G363" s="628">
        <v>0.1</v>
      </c>
      <c r="H363" s="628"/>
      <c r="I363" s="626">
        <f>8*0.0254*7850*3*0.0254/8</f>
        <v>15.193517999999999</v>
      </c>
      <c r="J363" s="628">
        <v>1</v>
      </c>
      <c r="K363" s="140">
        <f t="shared" si="46"/>
        <v>0.15193518000000003</v>
      </c>
      <c r="L363" s="140">
        <f t="shared" si="47"/>
        <v>0.15193518000000003</v>
      </c>
      <c r="M363" s="140">
        <f t="shared" si="48"/>
        <v>0</v>
      </c>
      <c r="N363" s="140">
        <f t="shared" si="49"/>
        <v>0</v>
      </c>
      <c r="O363" s="140">
        <f t="shared" si="50"/>
        <v>0</v>
      </c>
      <c r="P363" s="140">
        <f t="shared" si="51"/>
        <v>0</v>
      </c>
      <c r="Q363" s="156">
        <f t="shared" si="54"/>
        <v>31.003063253035361</v>
      </c>
      <c r="R363" s="125">
        <v>2.0405453992311302</v>
      </c>
      <c r="S363" s="73">
        <f t="shared" si="53"/>
        <v>0.31003063253035368</v>
      </c>
      <c r="T363" t="s">
        <v>793</v>
      </c>
    </row>
    <row r="364" spans="1:20">
      <c r="A364" s="618" t="s">
        <v>743</v>
      </c>
      <c r="B364" s="618" t="s">
        <v>815</v>
      </c>
      <c r="C364" s="618" t="s">
        <v>902</v>
      </c>
      <c r="D364" s="631" t="s">
        <v>515</v>
      </c>
      <c r="E364" s="631" t="s">
        <v>817</v>
      </c>
      <c r="F364" s="628"/>
      <c r="G364" s="628">
        <v>4.851</v>
      </c>
      <c r="H364" s="628"/>
      <c r="I364" s="626">
        <v>42.55</v>
      </c>
      <c r="J364" s="628">
        <v>1</v>
      </c>
      <c r="K364" s="140">
        <f t="shared" si="46"/>
        <v>206.41004999999998</v>
      </c>
      <c r="L364" s="140">
        <f t="shared" si="47"/>
        <v>0</v>
      </c>
      <c r="M364" s="140">
        <f t="shared" si="48"/>
        <v>206.41004999999998</v>
      </c>
      <c r="N364" s="140">
        <f t="shared" si="49"/>
        <v>0</v>
      </c>
      <c r="O364" s="140">
        <f t="shared" si="50"/>
        <v>0</v>
      </c>
      <c r="P364" s="140">
        <f t="shared" si="51"/>
        <v>0</v>
      </c>
      <c r="Q364" s="156">
        <f t="shared" si="54"/>
        <v>127.14691276931151</v>
      </c>
      <c r="R364" s="125">
        <v>2.98817656332107</v>
      </c>
      <c r="S364" s="73">
        <f t="shared" si="53"/>
        <v>616.78967384393013</v>
      </c>
      <c r="T364" t="s">
        <v>793</v>
      </c>
    </row>
    <row r="365" spans="1:20">
      <c r="A365" s="618" t="s">
        <v>743</v>
      </c>
      <c r="B365" s="618" t="s">
        <v>818</v>
      </c>
      <c r="C365" s="618" t="s">
        <v>905</v>
      </c>
      <c r="D365" s="631" t="s">
        <v>513</v>
      </c>
      <c r="E365" s="631" t="s">
        <v>799</v>
      </c>
      <c r="F365" s="628"/>
      <c r="G365" s="628">
        <v>1</v>
      </c>
      <c r="H365" s="628"/>
      <c r="I365" s="626">
        <v>19.05</v>
      </c>
      <c r="J365" s="628">
        <v>2</v>
      </c>
      <c r="K365" s="140">
        <f t="shared" si="46"/>
        <v>38.1</v>
      </c>
      <c r="L365" s="140">
        <f t="shared" si="47"/>
        <v>0</v>
      </c>
      <c r="M365" s="140">
        <f t="shared" si="48"/>
        <v>0</v>
      </c>
      <c r="N365" s="140">
        <f t="shared" si="49"/>
        <v>38.1</v>
      </c>
      <c r="O365" s="140">
        <f t="shared" si="50"/>
        <v>0</v>
      </c>
      <c r="P365" s="140">
        <f t="shared" si="51"/>
        <v>0</v>
      </c>
      <c r="Q365" s="156">
        <f t="shared" si="54"/>
        <v>86.090383604834386</v>
      </c>
      <c r="R365" s="125">
        <v>4.51918024172359</v>
      </c>
      <c r="S365" s="73">
        <f t="shared" si="53"/>
        <v>172.18076720966877</v>
      </c>
      <c r="T365" t="s">
        <v>793</v>
      </c>
    </row>
    <row r="366" spans="1:20">
      <c r="A366" s="618" t="s">
        <v>743</v>
      </c>
      <c r="B366" s="618" t="s">
        <v>790</v>
      </c>
      <c r="C366" s="618" t="s">
        <v>863</v>
      </c>
      <c r="D366" s="631" t="s">
        <v>497</v>
      </c>
      <c r="E366" s="631" t="s">
        <v>792</v>
      </c>
      <c r="F366" s="628">
        <f>0.1</f>
        <v>0.1</v>
      </c>
      <c r="G366" s="628">
        <v>0.1</v>
      </c>
      <c r="H366" s="628"/>
      <c r="I366" s="626">
        <f t="shared" ref="I366:I385" si="55">8*0.0254*7850*3*0.0254/8</f>
        <v>15.193517999999999</v>
      </c>
      <c r="J366" s="628">
        <v>1</v>
      </c>
      <c r="K366" s="140">
        <f t="shared" si="46"/>
        <v>0.15193518000000003</v>
      </c>
      <c r="L366" s="140">
        <f t="shared" si="47"/>
        <v>0.15193518000000003</v>
      </c>
      <c r="M366" s="140">
        <f t="shared" si="48"/>
        <v>0</v>
      </c>
      <c r="N366" s="140">
        <f t="shared" si="49"/>
        <v>0</v>
      </c>
      <c r="O366" s="140">
        <f t="shared" si="50"/>
        <v>0</v>
      </c>
      <c r="P366" s="140">
        <f t="shared" si="51"/>
        <v>0</v>
      </c>
      <c r="Q366" s="156">
        <f t="shared" si="54"/>
        <v>31.003063253035361</v>
      </c>
      <c r="R366" s="125">
        <v>2.0405453992311302</v>
      </c>
      <c r="S366" s="73">
        <f t="shared" si="53"/>
        <v>0.31003063253035368</v>
      </c>
      <c r="T366" t="s">
        <v>793</v>
      </c>
    </row>
    <row r="367" spans="1:20">
      <c r="A367" s="618" t="s">
        <v>743</v>
      </c>
      <c r="B367" s="618" t="s">
        <v>794</v>
      </c>
      <c r="C367" s="618" t="s">
        <v>908</v>
      </c>
      <c r="D367" s="631" t="s">
        <v>515</v>
      </c>
      <c r="E367" s="633" t="s">
        <v>792</v>
      </c>
      <c r="F367" s="628"/>
      <c r="G367" s="628">
        <v>0.61</v>
      </c>
      <c r="H367" s="628"/>
      <c r="I367" s="626">
        <f t="shared" si="55"/>
        <v>15.193517999999999</v>
      </c>
      <c r="J367" s="628">
        <v>3</v>
      </c>
      <c r="K367" s="140">
        <f t="shared" si="46"/>
        <v>27.80413794</v>
      </c>
      <c r="L367" s="140">
        <f t="shared" si="47"/>
        <v>0</v>
      </c>
      <c r="M367" s="140">
        <f t="shared" si="48"/>
        <v>0</v>
      </c>
      <c r="N367" s="140">
        <f t="shared" si="49"/>
        <v>0</v>
      </c>
      <c r="O367" s="140">
        <f t="shared" si="50"/>
        <v>27.80413794</v>
      </c>
      <c r="P367" s="140">
        <f t="shared" si="51"/>
        <v>0</v>
      </c>
      <c r="Q367" s="156">
        <f t="shared" si="54"/>
        <v>33.253285585916984</v>
      </c>
      <c r="R367" s="157">
        <v>2.1886495007882298</v>
      </c>
      <c r="S367" s="73">
        <f t="shared" si="53"/>
        <v>60.853512622228081</v>
      </c>
      <c r="T367" t="s">
        <v>793</v>
      </c>
    </row>
    <row r="368" spans="1:20">
      <c r="A368" s="618" t="s">
        <v>743</v>
      </c>
      <c r="B368" s="618" t="s">
        <v>794</v>
      </c>
      <c r="C368" s="618" t="s">
        <v>908</v>
      </c>
      <c r="D368" s="631" t="s">
        <v>515</v>
      </c>
      <c r="E368" s="633" t="s">
        <v>792</v>
      </c>
      <c r="F368" s="628"/>
      <c r="G368" s="628">
        <v>0.61</v>
      </c>
      <c r="H368" s="628"/>
      <c r="I368" s="626">
        <f t="shared" si="55"/>
        <v>15.193517999999999</v>
      </c>
      <c r="J368" s="628">
        <v>6</v>
      </c>
      <c r="K368" s="140">
        <f t="shared" si="46"/>
        <v>55.608275880000001</v>
      </c>
      <c r="L368" s="140">
        <f t="shared" si="47"/>
        <v>0</v>
      </c>
      <c r="M368" s="140">
        <f t="shared" si="48"/>
        <v>0</v>
      </c>
      <c r="N368" s="140">
        <f t="shared" si="49"/>
        <v>0</v>
      </c>
      <c r="O368" s="140">
        <f t="shared" si="50"/>
        <v>55.608275880000001</v>
      </c>
      <c r="P368" s="140">
        <f t="shared" si="51"/>
        <v>0</v>
      </c>
      <c r="Q368" s="156">
        <f t="shared" si="54"/>
        <v>33.253285585916984</v>
      </c>
      <c r="R368" s="157">
        <v>2.1886495007882298</v>
      </c>
      <c r="S368" s="73">
        <f t="shared" si="53"/>
        <v>121.70702524445616</v>
      </c>
      <c r="T368" t="s">
        <v>793</v>
      </c>
    </row>
    <row r="369" spans="1:20">
      <c r="A369" s="618" t="s">
        <v>743</v>
      </c>
      <c r="B369" s="618" t="s">
        <v>790</v>
      </c>
      <c r="C369" s="618" t="s">
        <v>814</v>
      </c>
      <c r="D369" s="631" t="s">
        <v>497</v>
      </c>
      <c r="E369" s="631" t="s">
        <v>792</v>
      </c>
      <c r="F369" s="628">
        <v>0.125</v>
      </c>
      <c r="G369" s="628">
        <v>0.125</v>
      </c>
      <c r="H369" s="628"/>
      <c r="I369" s="626">
        <f t="shared" si="55"/>
        <v>15.193517999999999</v>
      </c>
      <c r="J369" s="628">
        <v>6</v>
      </c>
      <c r="K369" s="140">
        <f t="shared" si="46"/>
        <v>1.4243923125</v>
      </c>
      <c r="L369" s="140">
        <f t="shared" si="47"/>
        <v>1.4243923125</v>
      </c>
      <c r="M369" s="140">
        <f t="shared" si="48"/>
        <v>0</v>
      </c>
      <c r="N369" s="140">
        <f t="shared" si="49"/>
        <v>0</v>
      </c>
      <c r="O369" s="140">
        <f t="shared" si="50"/>
        <v>0</v>
      </c>
      <c r="P369" s="140">
        <f t="shared" si="51"/>
        <v>0</v>
      </c>
      <c r="Q369" s="156">
        <f t="shared" si="54"/>
        <v>31.003063253035361</v>
      </c>
      <c r="R369" s="125">
        <v>2.0405453992311302</v>
      </c>
      <c r="S369" s="73">
        <f t="shared" si="53"/>
        <v>2.9065371799720654</v>
      </c>
      <c r="T369" t="s">
        <v>793</v>
      </c>
    </row>
    <row r="370" spans="1:20">
      <c r="A370" s="618" t="s">
        <v>743</v>
      </c>
      <c r="B370" s="618" t="s">
        <v>794</v>
      </c>
      <c r="C370" s="618" t="s">
        <v>908</v>
      </c>
      <c r="D370" s="631" t="s">
        <v>515</v>
      </c>
      <c r="E370" s="633" t="s">
        <v>792</v>
      </c>
      <c r="F370" s="628"/>
      <c r="G370" s="628">
        <v>0.61</v>
      </c>
      <c r="H370" s="628"/>
      <c r="I370" s="626">
        <f t="shared" si="55"/>
        <v>15.193517999999999</v>
      </c>
      <c r="J370" s="628">
        <v>2</v>
      </c>
      <c r="K370" s="140">
        <f t="shared" si="46"/>
        <v>18.53609196</v>
      </c>
      <c r="L370" s="140">
        <f t="shared" si="47"/>
        <v>0</v>
      </c>
      <c r="M370" s="140">
        <f t="shared" si="48"/>
        <v>0</v>
      </c>
      <c r="N370" s="140">
        <f t="shared" si="49"/>
        <v>0</v>
      </c>
      <c r="O370" s="140">
        <f t="shared" si="50"/>
        <v>18.53609196</v>
      </c>
      <c r="P370" s="140">
        <f t="shared" si="51"/>
        <v>0</v>
      </c>
      <c r="Q370" s="156">
        <f t="shared" si="54"/>
        <v>33.253285585916984</v>
      </c>
      <c r="R370" s="157">
        <v>2.1886495007882298</v>
      </c>
      <c r="S370" s="73">
        <f t="shared" si="53"/>
        <v>40.569008414818718</v>
      </c>
      <c r="T370" t="s">
        <v>793</v>
      </c>
    </row>
    <row r="371" spans="1:20">
      <c r="A371" s="618" t="s">
        <v>743</v>
      </c>
      <c r="B371" s="618" t="s">
        <v>794</v>
      </c>
      <c r="C371" s="618" t="s">
        <v>908</v>
      </c>
      <c r="D371" s="631" t="s">
        <v>515</v>
      </c>
      <c r="E371" s="633" t="s">
        <v>792</v>
      </c>
      <c r="F371" s="628"/>
      <c r="G371" s="628">
        <v>0.16800000000000001</v>
      </c>
      <c r="H371" s="628"/>
      <c r="I371" s="626">
        <f t="shared" si="55"/>
        <v>15.193517999999999</v>
      </c>
      <c r="J371" s="628">
        <v>2</v>
      </c>
      <c r="K371" s="140">
        <f t="shared" si="46"/>
        <v>5.1050220480000004</v>
      </c>
      <c r="L371" s="140">
        <f t="shared" si="47"/>
        <v>0</v>
      </c>
      <c r="M371" s="140">
        <f t="shared" si="48"/>
        <v>0</v>
      </c>
      <c r="N371" s="140">
        <f t="shared" si="49"/>
        <v>0</v>
      </c>
      <c r="O371" s="140">
        <f t="shared" si="50"/>
        <v>5.1050220480000004</v>
      </c>
      <c r="P371" s="140">
        <f t="shared" si="51"/>
        <v>0</v>
      </c>
      <c r="Q371" s="156">
        <f t="shared" si="54"/>
        <v>33.253285585916984</v>
      </c>
      <c r="R371" s="157">
        <v>2.1886495007882298</v>
      </c>
      <c r="S371" s="73">
        <f t="shared" si="53"/>
        <v>11.173103956868108</v>
      </c>
      <c r="T371" t="s">
        <v>793</v>
      </c>
    </row>
    <row r="372" spans="1:20">
      <c r="A372" s="618" t="s">
        <v>743</v>
      </c>
      <c r="B372" s="618" t="s">
        <v>790</v>
      </c>
      <c r="C372" s="618" t="s">
        <v>814</v>
      </c>
      <c r="D372" s="631" t="s">
        <v>497</v>
      </c>
      <c r="E372" s="631" t="s">
        <v>792</v>
      </c>
      <c r="F372" s="628">
        <v>0.125</v>
      </c>
      <c r="G372" s="628">
        <v>0.125</v>
      </c>
      <c r="H372" s="628"/>
      <c r="I372" s="626">
        <f t="shared" si="55"/>
        <v>15.193517999999999</v>
      </c>
      <c r="J372" s="628">
        <v>2</v>
      </c>
      <c r="K372" s="140">
        <f t="shared" si="46"/>
        <v>0.47479743749999997</v>
      </c>
      <c r="L372" s="140">
        <f t="shared" si="47"/>
        <v>0.47479743749999997</v>
      </c>
      <c r="M372" s="140">
        <f t="shared" si="48"/>
        <v>0</v>
      </c>
      <c r="N372" s="140">
        <f t="shared" si="49"/>
        <v>0</v>
      </c>
      <c r="O372" s="140">
        <f t="shared" si="50"/>
        <v>0</v>
      </c>
      <c r="P372" s="140">
        <f t="shared" si="51"/>
        <v>0</v>
      </c>
      <c r="Q372" s="156">
        <f t="shared" si="54"/>
        <v>31.003063253035361</v>
      </c>
      <c r="R372" s="125">
        <v>2.0405453992311302</v>
      </c>
      <c r="S372" s="73">
        <f t="shared" si="53"/>
        <v>0.96884572665735502</v>
      </c>
      <c r="T372" t="s">
        <v>793</v>
      </c>
    </row>
    <row r="373" spans="1:20">
      <c r="A373" s="618" t="s">
        <v>745</v>
      </c>
      <c r="B373" s="618" t="s">
        <v>790</v>
      </c>
      <c r="C373" s="618" t="s">
        <v>888</v>
      </c>
      <c r="D373" s="631" t="s">
        <v>497</v>
      </c>
      <c r="E373" s="631" t="s">
        <v>792</v>
      </c>
      <c r="F373" s="628">
        <v>0.61</v>
      </c>
      <c r="G373" s="628">
        <v>0.44</v>
      </c>
      <c r="H373" s="628"/>
      <c r="I373" s="626">
        <f t="shared" si="55"/>
        <v>15.193517999999999</v>
      </c>
      <c r="J373" s="629">
        <v>4</v>
      </c>
      <c r="K373" s="140">
        <f t="shared" si="46"/>
        <v>16.311760924799998</v>
      </c>
      <c r="L373" s="140">
        <f t="shared" si="47"/>
        <v>16.311760924799998</v>
      </c>
      <c r="M373" s="140">
        <f t="shared" si="48"/>
        <v>0</v>
      </c>
      <c r="N373" s="140">
        <f t="shared" si="49"/>
        <v>0</v>
      </c>
      <c r="O373" s="140">
        <f t="shared" si="50"/>
        <v>0</v>
      </c>
      <c r="P373" s="140">
        <f t="shared" si="51"/>
        <v>0</v>
      </c>
      <c r="Q373" s="156">
        <f t="shared" si="54"/>
        <v>31.003063253035361</v>
      </c>
      <c r="R373" s="125">
        <v>2.0405453992311302</v>
      </c>
      <c r="S373" s="73">
        <f t="shared" si="53"/>
        <v>33.284888708458759</v>
      </c>
      <c r="T373" t="s">
        <v>793</v>
      </c>
    </row>
    <row r="374" spans="1:20">
      <c r="A374" s="618" t="s">
        <v>745</v>
      </c>
      <c r="B374" s="618" t="s">
        <v>790</v>
      </c>
      <c r="C374" s="618" t="s">
        <v>888</v>
      </c>
      <c r="D374" s="631" t="s">
        <v>497</v>
      </c>
      <c r="E374" s="631" t="s">
        <v>792</v>
      </c>
      <c r="F374" s="628">
        <v>0.61</v>
      </c>
      <c r="G374" s="628">
        <v>0.15</v>
      </c>
      <c r="H374" s="628"/>
      <c r="I374" s="626">
        <f t="shared" si="55"/>
        <v>15.193517999999999</v>
      </c>
      <c r="J374" s="629">
        <v>8</v>
      </c>
      <c r="K374" s="140">
        <f t="shared" si="46"/>
        <v>11.121655175999999</v>
      </c>
      <c r="L374" s="140">
        <f t="shared" si="47"/>
        <v>11.121655175999999</v>
      </c>
      <c r="M374" s="140">
        <f t="shared" si="48"/>
        <v>0</v>
      </c>
      <c r="N374" s="140">
        <f t="shared" si="49"/>
        <v>0</v>
      </c>
      <c r="O374" s="140">
        <f t="shared" si="50"/>
        <v>0</v>
      </c>
      <c r="P374" s="140">
        <f t="shared" si="51"/>
        <v>0</v>
      </c>
      <c r="Q374" s="156">
        <f t="shared" si="54"/>
        <v>31.003063253035361</v>
      </c>
      <c r="R374" s="125">
        <v>2.0405453992311302</v>
      </c>
      <c r="S374" s="73">
        <f t="shared" si="53"/>
        <v>22.694242301221884</v>
      </c>
      <c r="T374" t="s">
        <v>793</v>
      </c>
    </row>
    <row r="375" spans="1:20">
      <c r="A375" s="618" t="s">
        <v>745</v>
      </c>
      <c r="B375" s="618" t="s">
        <v>790</v>
      </c>
      <c r="C375" s="618" t="s">
        <v>888</v>
      </c>
      <c r="D375" s="631" t="s">
        <v>497</v>
      </c>
      <c r="E375" s="631" t="s">
        <v>792</v>
      </c>
      <c r="F375" s="628">
        <v>0.1</v>
      </c>
      <c r="G375" s="628">
        <v>0.1</v>
      </c>
      <c r="H375" s="628"/>
      <c r="I375" s="626">
        <f t="shared" si="55"/>
        <v>15.193517999999999</v>
      </c>
      <c r="J375" s="629">
        <v>220</v>
      </c>
      <c r="K375" s="140">
        <f t="shared" si="46"/>
        <v>33.425739600000007</v>
      </c>
      <c r="L375" s="140">
        <f t="shared" si="47"/>
        <v>33.425739600000007</v>
      </c>
      <c r="M375" s="140">
        <f t="shared" si="48"/>
        <v>0</v>
      </c>
      <c r="N375" s="140">
        <f t="shared" si="49"/>
        <v>0</v>
      </c>
      <c r="O375" s="140">
        <f t="shared" si="50"/>
        <v>0</v>
      </c>
      <c r="P375" s="140">
        <f t="shared" si="51"/>
        <v>0</v>
      </c>
      <c r="Q375" s="156">
        <f t="shared" si="54"/>
        <v>31.003063253035361</v>
      </c>
      <c r="R375" s="125">
        <v>2.0405453992311302</v>
      </c>
      <c r="S375" s="73">
        <f t="shared" si="53"/>
        <v>68.206739156677813</v>
      </c>
      <c r="T375" t="s">
        <v>793</v>
      </c>
    </row>
    <row r="376" spans="1:20">
      <c r="A376" s="618" t="s">
        <v>745</v>
      </c>
      <c r="B376" s="618" t="s">
        <v>794</v>
      </c>
      <c r="C376" s="618" t="s">
        <v>880</v>
      </c>
      <c r="D376" s="631" t="s">
        <v>515</v>
      </c>
      <c r="E376" s="633" t="s">
        <v>792</v>
      </c>
      <c r="F376" s="628"/>
      <c r="G376" s="628">
        <v>0.79600000000000004</v>
      </c>
      <c r="H376" s="628"/>
      <c r="I376" s="626">
        <f t="shared" si="55"/>
        <v>15.193517999999999</v>
      </c>
      <c r="J376" s="629">
        <v>110</v>
      </c>
      <c r="K376" s="140">
        <f t="shared" si="46"/>
        <v>1330.3444360799999</v>
      </c>
      <c r="L376" s="140">
        <f t="shared" si="47"/>
        <v>0</v>
      </c>
      <c r="M376" s="140">
        <f t="shared" si="48"/>
        <v>0</v>
      </c>
      <c r="N376" s="140">
        <f t="shared" si="49"/>
        <v>0</v>
      </c>
      <c r="O376" s="140">
        <f t="shared" si="50"/>
        <v>1330.3444360799999</v>
      </c>
      <c r="P376" s="140">
        <f t="shared" si="51"/>
        <v>0</v>
      </c>
      <c r="Q376" s="156">
        <f t="shared" si="54"/>
        <v>33.253285585916984</v>
      </c>
      <c r="R376" s="157">
        <v>2.1886495007882298</v>
      </c>
      <c r="S376" s="73">
        <f t="shared" si="53"/>
        <v>2911.657685902891</v>
      </c>
      <c r="T376" t="s">
        <v>793</v>
      </c>
    </row>
    <row r="377" spans="1:20">
      <c r="A377" s="618" t="s">
        <v>745</v>
      </c>
      <c r="B377" s="618" t="s">
        <v>790</v>
      </c>
      <c r="C377" s="618" t="s">
        <v>909</v>
      </c>
      <c r="D377" s="631" t="s">
        <v>497</v>
      </c>
      <c r="E377" s="631" t="s">
        <v>792</v>
      </c>
      <c r="F377" s="628">
        <v>0.61</v>
      </c>
      <c r="G377" s="628">
        <v>1.05</v>
      </c>
      <c r="H377" s="628"/>
      <c r="I377" s="626">
        <f t="shared" si="55"/>
        <v>15.193517999999999</v>
      </c>
      <c r="J377" s="629">
        <v>2</v>
      </c>
      <c r="K377" s="140">
        <f t="shared" si="46"/>
        <v>19.462896557999997</v>
      </c>
      <c r="L377" s="140">
        <f t="shared" si="47"/>
        <v>19.462896557999997</v>
      </c>
      <c r="M377" s="140">
        <f t="shared" si="48"/>
        <v>0</v>
      </c>
      <c r="N377" s="140">
        <f t="shared" si="49"/>
        <v>0</v>
      </c>
      <c r="O377" s="140">
        <f t="shared" si="50"/>
        <v>0</v>
      </c>
      <c r="P377" s="140">
        <f t="shared" si="51"/>
        <v>0</v>
      </c>
      <c r="Q377" s="156">
        <f t="shared" si="54"/>
        <v>31.003063253035361</v>
      </c>
      <c r="R377" s="125">
        <v>2.0405453992311302</v>
      </c>
      <c r="S377" s="73">
        <f t="shared" si="53"/>
        <v>39.714924027138295</v>
      </c>
      <c r="T377" t="s">
        <v>793</v>
      </c>
    </row>
    <row r="378" spans="1:20">
      <c r="A378" s="618" t="s">
        <v>745</v>
      </c>
      <c r="B378" s="618" t="s">
        <v>790</v>
      </c>
      <c r="C378" s="618" t="s">
        <v>888</v>
      </c>
      <c r="D378" s="631" t="s">
        <v>497</v>
      </c>
      <c r="E378" s="631" t="s">
        <v>792</v>
      </c>
      <c r="F378" s="628">
        <v>0.61</v>
      </c>
      <c r="G378" s="628">
        <v>1.1759999999999999</v>
      </c>
      <c r="H378" s="628"/>
      <c r="I378" s="626">
        <f t="shared" si="55"/>
        <v>15.193517999999999</v>
      </c>
      <c r="J378" s="629">
        <v>1</v>
      </c>
      <c r="K378" s="140">
        <f t="shared" si="46"/>
        <v>10.899222072479999</v>
      </c>
      <c r="L378" s="140">
        <f t="shared" si="47"/>
        <v>10.899222072479999</v>
      </c>
      <c r="M378" s="140">
        <f t="shared" si="48"/>
        <v>0</v>
      </c>
      <c r="N378" s="140">
        <f t="shared" si="49"/>
        <v>0</v>
      </c>
      <c r="O378" s="140">
        <f t="shared" si="50"/>
        <v>0</v>
      </c>
      <c r="P378" s="140">
        <f t="shared" si="51"/>
        <v>0</v>
      </c>
      <c r="Q378" s="156">
        <f t="shared" si="54"/>
        <v>31.003063253035361</v>
      </c>
      <c r="R378" s="125">
        <v>2.0405453992311302</v>
      </c>
      <c r="S378" s="73">
        <f t="shared" si="53"/>
        <v>22.240357455197447</v>
      </c>
      <c r="T378" t="s">
        <v>793</v>
      </c>
    </row>
    <row r="379" spans="1:20">
      <c r="A379" s="618" t="s">
        <v>745</v>
      </c>
      <c r="B379" s="618" t="s">
        <v>790</v>
      </c>
      <c r="C379" s="618" t="s">
        <v>888</v>
      </c>
      <c r="D379" s="631" t="s">
        <v>497</v>
      </c>
      <c r="E379" s="631" t="s">
        <v>792</v>
      </c>
      <c r="F379" s="628">
        <v>0.61</v>
      </c>
      <c r="G379" s="628">
        <v>1.278</v>
      </c>
      <c r="H379" s="628"/>
      <c r="I379" s="626">
        <f t="shared" si="55"/>
        <v>15.193517999999999</v>
      </c>
      <c r="J379" s="629">
        <v>1</v>
      </c>
      <c r="K379" s="140">
        <f t="shared" si="46"/>
        <v>11.844562762440001</v>
      </c>
      <c r="L379" s="140">
        <f t="shared" si="47"/>
        <v>11.844562762440001</v>
      </c>
      <c r="M379" s="140">
        <f t="shared" si="48"/>
        <v>0</v>
      </c>
      <c r="N379" s="140">
        <f t="shared" si="49"/>
        <v>0</v>
      </c>
      <c r="O379" s="140">
        <f t="shared" si="50"/>
        <v>0</v>
      </c>
      <c r="P379" s="140">
        <f t="shared" si="51"/>
        <v>0</v>
      </c>
      <c r="Q379" s="156">
        <f t="shared" si="54"/>
        <v>31.003063253035361</v>
      </c>
      <c r="R379" s="125">
        <v>2.0405453992311302</v>
      </c>
      <c r="S379" s="73">
        <f t="shared" si="53"/>
        <v>24.16936805080131</v>
      </c>
      <c r="T379" t="s">
        <v>793</v>
      </c>
    </row>
    <row r="380" spans="1:20">
      <c r="A380" s="618" t="s">
        <v>745</v>
      </c>
      <c r="B380" s="618" t="s">
        <v>790</v>
      </c>
      <c r="C380" s="618" t="s">
        <v>888</v>
      </c>
      <c r="D380" s="631" t="s">
        <v>497</v>
      </c>
      <c r="E380" s="631" t="s">
        <v>792</v>
      </c>
      <c r="F380" s="628">
        <v>0.61</v>
      </c>
      <c r="G380" s="628">
        <v>1.4710000000000001</v>
      </c>
      <c r="H380" s="628"/>
      <c r="I380" s="626">
        <f t="shared" si="55"/>
        <v>15.193517999999999</v>
      </c>
      <c r="J380" s="629">
        <v>2</v>
      </c>
      <c r="K380" s="140">
        <f t="shared" si="46"/>
        <v>27.26659127316</v>
      </c>
      <c r="L380" s="140">
        <f t="shared" si="47"/>
        <v>27.26659127316</v>
      </c>
      <c r="M380" s="140">
        <f t="shared" si="48"/>
        <v>0</v>
      </c>
      <c r="N380" s="140">
        <f t="shared" si="49"/>
        <v>0</v>
      </c>
      <c r="O380" s="140">
        <f t="shared" si="50"/>
        <v>0</v>
      </c>
      <c r="P380" s="140">
        <f t="shared" si="51"/>
        <v>0</v>
      </c>
      <c r="Q380" s="156">
        <f t="shared" si="54"/>
        <v>31.003063253035361</v>
      </c>
      <c r="R380" s="125">
        <v>2.0405453992311302</v>
      </c>
      <c r="S380" s="73">
        <f t="shared" si="53"/>
        <v>55.638717375162322</v>
      </c>
      <c r="T380" t="s">
        <v>793</v>
      </c>
    </row>
    <row r="381" spans="1:20">
      <c r="A381" s="618" t="s">
        <v>745</v>
      </c>
      <c r="B381" s="618" t="s">
        <v>790</v>
      </c>
      <c r="C381" s="618" t="s">
        <v>888</v>
      </c>
      <c r="D381" s="631" t="s">
        <v>497</v>
      </c>
      <c r="E381" s="631" t="s">
        <v>792</v>
      </c>
      <c r="F381" s="628">
        <v>0.61</v>
      </c>
      <c r="G381" s="628">
        <v>12.009</v>
      </c>
      <c r="H381" s="628"/>
      <c r="I381" s="626">
        <f t="shared" si="55"/>
        <v>15.193517999999999</v>
      </c>
      <c r="J381" s="629">
        <v>1</v>
      </c>
      <c r="K381" s="140">
        <f t="shared" si="46"/>
        <v>111.29996417382</v>
      </c>
      <c r="L381" s="140">
        <f t="shared" si="47"/>
        <v>111.29996417382</v>
      </c>
      <c r="M381" s="140">
        <f t="shared" si="48"/>
        <v>0</v>
      </c>
      <c r="N381" s="140">
        <f t="shared" si="49"/>
        <v>0</v>
      </c>
      <c r="O381" s="140">
        <f t="shared" si="50"/>
        <v>0</v>
      </c>
      <c r="P381" s="140">
        <f t="shared" si="51"/>
        <v>0</v>
      </c>
      <c r="Q381" s="156">
        <f t="shared" si="54"/>
        <v>31.003063253035361</v>
      </c>
      <c r="R381" s="125">
        <v>2.0405453992311302</v>
      </c>
      <c r="S381" s="73">
        <f t="shared" si="53"/>
        <v>227.11262982947801</v>
      </c>
      <c r="T381" t="s">
        <v>793</v>
      </c>
    </row>
    <row r="382" spans="1:20">
      <c r="A382" s="618" t="s">
        <v>745</v>
      </c>
      <c r="B382" s="618" t="s">
        <v>790</v>
      </c>
      <c r="C382" s="618" t="s">
        <v>888</v>
      </c>
      <c r="D382" s="631" t="s">
        <v>497</v>
      </c>
      <c r="E382" s="631" t="s">
        <v>792</v>
      </c>
      <c r="F382" s="628">
        <v>0.61</v>
      </c>
      <c r="G382" s="628">
        <v>4.3310000000000004</v>
      </c>
      <c r="H382" s="628"/>
      <c r="I382" s="626">
        <f t="shared" si="55"/>
        <v>15.193517999999999</v>
      </c>
      <c r="J382" s="629">
        <v>1</v>
      </c>
      <c r="K382" s="140">
        <f t="shared" si="46"/>
        <v>40.13990713938</v>
      </c>
      <c r="L382" s="140">
        <f t="shared" si="47"/>
        <v>40.13990713938</v>
      </c>
      <c r="M382" s="140">
        <f t="shared" si="48"/>
        <v>0</v>
      </c>
      <c r="N382" s="140">
        <f t="shared" si="49"/>
        <v>0</v>
      </c>
      <c r="O382" s="140">
        <f t="shared" si="50"/>
        <v>0</v>
      </c>
      <c r="P382" s="140">
        <f t="shared" si="51"/>
        <v>0</v>
      </c>
      <c r="Q382" s="156">
        <f t="shared" si="54"/>
        <v>31.003063253035361</v>
      </c>
      <c r="R382" s="125">
        <v>2.0405453992311302</v>
      </c>
      <c r="S382" s="73">
        <f t="shared" si="53"/>
        <v>81.907302838826652</v>
      </c>
      <c r="T382" t="s">
        <v>793</v>
      </c>
    </row>
    <row r="383" spans="1:20">
      <c r="A383" s="618" t="s">
        <v>745</v>
      </c>
      <c r="B383" s="618" t="s">
        <v>790</v>
      </c>
      <c r="C383" s="618" t="s">
        <v>888</v>
      </c>
      <c r="D383" s="631" t="s">
        <v>497</v>
      </c>
      <c r="E383" s="631" t="s">
        <v>792</v>
      </c>
      <c r="F383" s="628">
        <v>0.61</v>
      </c>
      <c r="G383" s="628">
        <v>5.52</v>
      </c>
      <c r="H383" s="628"/>
      <c r="I383" s="626">
        <f t="shared" si="55"/>
        <v>15.193517999999999</v>
      </c>
      <c r="J383" s="629">
        <v>2</v>
      </c>
      <c r="K383" s="140">
        <f t="shared" si="46"/>
        <v>102.31922761919998</v>
      </c>
      <c r="L383" s="140">
        <f t="shared" si="47"/>
        <v>102.31922761919998</v>
      </c>
      <c r="M383" s="140">
        <f t="shared" si="48"/>
        <v>0</v>
      </c>
      <c r="N383" s="140">
        <f t="shared" si="49"/>
        <v>0</v>
      </c>
      <c r="O383" s="140">
        <f t="shared" si="50"/>
        <v>0</v>
      </c>
      <c r="P383" s="140">
        <f t="shared" si="51"/>
        <v>0</v>
      </c>
      <c r="Q383" s="156">
        <f t="shared" si="54"/>
        <v>31.003063253035361</v>
      </c>
      <c r="R383" s="125">
        <v>2.0405453992311302</v>
      </c>
      <c r="S383" s="73">
        <f t="shared" si="53"/>
        <v>208.7870291712413</v>
      </c>
      <c r="T383" t="s">
        <v>793</v>
      </c>
    </row>
    <row r="384" spans="1:20">
      <c r="A384" s="618" t="s">
        <v>745</v>
      </c>
      <c r="B384" s="618" t="s">
        <v>790</v>
      </c>
      <c r="C384" s="618" t="s">
        <v>888</v>
      </c>
      <c r="D384" s="631" t="s">
        <v>497</v>
      </c>
      <c r="E384" s="631" t="s">
        <v>792</v>
      </c>
      <c r="F384" s="628">
        <v>0.61</v>
      </c>
      <c r="G384" s="628">
        <v>4.28</v>
      </c>
      <c r="H384" s="628"/>
      <c r="I384" s="626">
        <f t="shared" si="55"/>
        <v>15.193517999999999</v>
      </c>
      <c r="J384" s="629">
        <v>1</v>
      </c>
      <c r="K384" s="140">
        <f t="shared" si="46"/>
        <v>39.667236794400004</v>
      </c>
      <c r="L384" s="140">
        <f t="shared" si="47"/>
        <v>39.667236794400004</v>
      </c>
      <c r="M384" s="140">
        <f t="shared" si="48"/>
        <v>0</v>
      </c>
      <c r="N384" s="140">
        <f t="shared" si="49"/>
        <v>0</v>
      </c>
      <c r="O384" s="140">
        <f t="shared" si="50"/>
        <v>0</v>
      </c>
      <c r="P384" s="140">
        <f t="shared" si="51"/>
        <v>0</v>
      </c>
      <c r="Q384" s="156">
        <f t="shared" si="54"/>
        <v>31.003063253035361</v>
      </c>
      <c r="R384" s="125">
        <v>2.0405453992311302</v>
      </c>
      <c r="S384" s="73">
        <f t="shared" si="53"/>
        <v>80.942797541024731</v>
      </c>
      <c r="T384" t="s">
        <v>793</v>
      </c>
    </row>
    <row r="385" spans="1:20">
      <c r="A385" s="618" t="s">
        <v>745</v>
      </c>
      <c r="B385" s="618" t="s">
        <v>790</v>
      </c>
      <c r="C385" s="618" t="s">
        <v>888</v>
      </c>
      <c r="D385" s="631" t="s">
        <v>497</v>
      </c>
      <c r="E385" s="631" t="s">
        <v>792</v>
      </c>
      <c r="F385" s="628">
        <v>0.61</v>
      </c>
      <c r="G385" s="628">
        <v>12.06</v>
      </c>
      <c r="H385" s="628"/>
      <c r="I385" s="626">
        <f t="shared" si="55"/>
        <v>15.193517999999999</v>
      </c>
      <c r="J385" s="629">
        <v>11</v>
      </c>
      <c r="K385" s="140">
        <f t="shared" si="46"/>
        <v>1229.4989797068001</v>
      </c>
      <c r="L385" s="140">
        <f t="shared" si="47"/>
        <v>1229.4989797068001</v>
      </c>
      <c r="M385" s="140">
        <f t="shared" si="48"/>
        <v>0</v>
      </c>
      <c r="N385" s="140">
        <f t="shared" si="49"/>
        <v>0</v>
      </c>
      <c r="O385" s="140">
        <f t="shared" si="50"/>
        <v>0</v>
      </c>
      <c r="P385" s="140">
        <f t="shared" si="51"/>
        <v>0</v>
      </c>
      <c r="Q385" s="156">
        <f t="shared" si="54"/>
        <v>31.003063253035361</v>
      </c>
      <c r="R385" s="125">
        <v>2.0405453992311302</v>
      </c>
      <c r="S385" s="73">
        <f t="shared" si="53"/>
        <v>2508.8484864000798</v>
      </c>
      <c r="T385" t="s">
        <v>793</v>
      </c>
    </row>
    <row r="386" spans="1:20">
      <c r="A386" s="618" t="s">
        <v>746</v>
      </c>
      <c r="B386" s="618" t="s">
        <v>790</v>
      </c>
      <c r="C386" s="618" t="s">
        <v>910</v>
      </c>
      <c r="D386" s="631" t="s">
        <v>497</v>
      </c>
      <c r="E386" s="631" t="s">
        <v>817</v>
      </c>
      <c r="F386" s="628">
        <f>3*0.0254</f>
        <v>7.619999999999999E-2</v>
      </c>
      <c r="G386" s="628">
        <f>8*0.0254</f>
        <v>0.20319999999999999</v>
      </c>
      <c r="H386" s="628"/>
      <c r="I386" s="626">
        <v>5</v>
      </c>
      <c r="J386" s="628">
        <v>4</v>
      </c>
      <c r="K386" s="140">
        <f t="shared" si="46"/>
        <v>0.30967679999999992</v>
      </c>
      <c r="L386" s="140">
        <f t="shared" si="47"/>
        <v>0.30967679999999992</v>
      </c>
      <c r="M386" s="140">
        <f t="shared" si="48"/>
        <v>0</v>
      </c>
      <c r="N386" s="140">
        <f t="shared" si="49"/>
        <v>0</v>
      </c>
      <c r="O386" s="140">
        <f t="shared" si="50"/>
        <v>0</v>
      </c>
      <c r="P386" s="140">
        <f t="shared" si="51"/>
        <v>0</v>
      </c>
      <c r="Q386" s="156">
        <f t="shared" si="54"/>
        <v>10.202726996155651</v>
      </c>
      <c r="R386" s="125">
        <v>2.0405453992311302</v>
      </c>
      <c r="S386" s="73">
        <f t="shared" si="53"/>
        <v>0.63190956948861865</v>
      </c>
      <c r="T386" t="s">
        <v>793</v>
      </c>
    </row>
    <row r="387" spans="1:20">
      <c r="A387" s="618" t="s">
        <v>746</v>
      </c>
      <c r="B387" s="618" t="s">
        <v>790</v>
      </c>
      <c r="C387" s="618" t="s">
        <v>910</v>
      </c>
      <c r="D387" s="631" t="s">
        <v>497</v>
      </c>
      <c r="E387" s="631" t="s">
        <v>817</v>
      </c>
      <c r="F387" s="628">
        <f>3*0.0254</f>
        <v>7.619999999999999E-2</v>
      </c>
      <c r="G387" s="628">
        <f>8*0.0254</f>
        <v>0.20319999999999999</v>
      </c>
      <c r="H387" s="628"/>
      <c r="I387" s="626">
        <v>5</v>
      </c>
      <c r="J387" s="628">
        <v>71</v>
      </c>
      <c r="K387" s="140">
        <f t="shared" ref="K387:K450" si="56">PRODUCT(F387:J387)</f>
        <v>5.4967631999999984</v>
      </c>
      <c r="L387" s="140">
        <f t="shared" ref="L387:L450" si="57">IF(B387="Lámina",K387,0)</f>
        <v>5.4967631999999984</v>
      </c>
      <c r="M387" s="140">
        <f t="shared" ref="M387:M450" si="58">IF(B387="Tubería",K387,0)</f>
        <v>0</v>
      </c>
      <c r="N387" s="140">
        <f t="shared" ref="N387:N450" si="59">IF(B387="Accesorio",K387,0)</f>
        <v>0</v>
      </c>
      <c r="O387" s="140">
        <f t="shared" ref="O387:O450" si="60">IF(B387="Perfil",K387,0)</f>
        <v>0</v>
      </c>
      <c r="P387" s="140">
        <f t="shared" ref="P387:P450" si="61">IF(B387="Tornillería",K387,0)</f>
        <v>0</v>
      </c>
      <c r="Q387" s="156">
        <f t="shared" si="54"/>
        <v>10.202726996155651</v>
      </c>
      <c r="R387" s="125">
        <v>2.0405453992311302</v>
      </c>
      <c r="S387" s="73">
        <f t="shared" ref="S387:S450" si="62">R387*K387</f>
        <v>11.216394858422982</v>
      </c>
      <c r="T387" t="s">
        <v>793</v>
      </c>
    </row>
    <row r="388" spans="1:20">
      <c r="A388" s="618" t="s">
        <v>746</v>
      </c>
      <c r="B388" s="618" t="s">
        <v>794</v>
      </c>
      <c r="C388" s="618" t="s">
        <v>795</v>
      </c>
      <c r="D388" s="631" t="s">
        <v>515</v>
      </c>
      <c r="E388" s="633" t="s">
        <v>792</v>
      </c>
      <c r="F388" s="628"/>
      <c r="G388" s="628">
        <v>0.44800000000000001</v>
      </c>
      <c r="H388" s="628"/>
      <c r="I388" s="626">
        <f t="shared" ref="I388:I395" si="63">8*0.0254*7850*3*0.0254/8</f>
        <v>15.193517999999999</v>
      </c>
      <c r="J388" s="628">
        <v>2</v>
      </c>
      <c r="K388" s="140">
        <f t="shared" si="56"/>
        <v>13.613392127999999</v>
      </c>
      <c r="L388" s="140">
        <f t="shared" si="57"/>
        <v>0</v>
      </c>
      <c r="M388" s="140">
        <f t="shared" si="58"/>
        <v>0</v>
      </c>
      <c r="N388" s="140">
        <f t="shared" si="59"/>
        <v>0</v>
      </c>
      <c r="O388" s="140">
        <f t="shared" si="60"/>
        <v>13.613392127999999</v>
      </c>
      <c r="P388" s="140">
        <f t="shared" si="61"/>
        <v>0</v>
      </c>
      <c r="Q388" s="156">
        <f t="shared" si="54"/>
        <v>33.253285585916984</v>
      </c>
      <c r="R388" s="157">
        <v>2.1886495007882298</v>
      </c>
      <c r="S388" s="73">
        <f t="shared" si="62"/>
        <v>29.794943884981617</v>
      </c>
      <c r="T388" t="s">
        <v>793</v>
      </c>
    </row>
    <row r="389" spans="1:20">
      <c r="A389" s="618" t="s">
        <v>746</v>
      </c>
      <c r="B389" s="618" t="s">
        <v>794</v>
      </c>
      <c r="C389" s="618" t="s">
        <v>795</v>
      </c>
      <c r="D389" s="631" t="s">
        <v>515</v>
      </c>
      <c r="E389" s="633" t="s">
        <v>792</v>
      </c>
      <c r="F389" s="628"/>
      <c r="G389" s="628">
        <v>1.2749999999999999</v>
      </c>
      <c r="H389" s="628"/>
      <c r="I389" s="626">
        <f t="shared" si="63"/>
        <v>15.193517999999999</v>
      </c>
      <c r="J389" s="628">
        <v>2</v>
      </c>
      <c r="K389" s="140">
        <f t="shared" si="56"/>
        <v>38.743470899999998</v>
      </c>
      <c r="L389" s="140">
        <f t="shared" si="57"/>
        <v>0</v>
      </c>
      <c r="M389" s="140">
        <f t="shared" si="58"/>
        <v>0</v>
      </c>
      <c r="N389" s="140">
        <f t="shared" si="59"/>
        <v>0</v>
      </c>
      <c r="O389" s="140">
        <f t="shared" si="60"/>
        <v>38.743470899999998</v>
      </c>
      <c r="P389" s="140">
        <f t="shared" si="61"/>
        <v>0</v>
      </c>
      <c r="Q389" s="156">
        <f t="shared" si="54"/>
        <v>33.253285585916984</v>
      </c>
      <c r="R389" s="157">
        <v>2.1886495007882298</v>
      </c>
      <c r="S389" s="73">
        <f t="shared" si="62"/>
        <v>84.7958782440883</v>
      </c>
      <c r="T389" t="s">
        <v>793</v>
      </c>
    </row>
    <row r="390" spans="1:20">
      <c r="A390" s="618" t="s">
        <v>746</v>
      </c>
      <c r="B390" s="618" t="s">
        <v>790</v>
      </c>
      <c r="C390" s="618" t="s">
        <v>888</v>
      </c>
      <c r="D390" s="631" t="s">
        <v>497</v>
      </c>
      <c r="E390" s="631" t="s">
        <v>792</v>
      </c>
      <c r="F390" s="628">
        <v>0.13</v>
      </c>
      <c r="G390" s="628">
        <v>0.45400000000000001</v>
      </c>
      <c r="H390" s="628"/>
      <c r="I390" s="626">
        <f t="shared" si="63"/>
        <v>15.193517999999999</v>
      </c>
      <c r="J390" s="628">
        <v>2</v>
      </c>
      <c r="K390" s="140">
        <f t="shared" si="56"/>
        <v>1.79344286472</v>
      </c>
      <c r="L390" s="140">
        <f t="shared" si="57"/>
        <v>1.79344286472</v>
      </c>
      <c r="M390" s="140">
        <f t="shared" si="58"/>
        <v>0</v>
      </c>
      <c r="N390" s="140">
        <f t="shared" si="59"/>
        <v>0</v>
      </c>
      <c r="O390" s="140">
        <f t="shared" si="60"/>
        <v>0</v>
      </c>
      <c r="P390" s="140">
        <f t="shared" si="61"/>
        <v>0</v>
      </c>
      <c r="Q390" s="156">
        <f t="shared" si="54"/>
        <v>31.003063253035361</v>
      </c>
      <c r="R390" s="125">
        <v>2.0405453992311302</v>
      </c>
      <c r="S390" s="73">
        <f t="shared" si="62"/>
        <v>3.6596015863882942</v>
      </c>
      <c r="T390" t="s">
        <v>793</v>
      </c>
    </row>
    <row r="391" spans="1:20">
      <c r="A391" s="618" t="s">
        <v>746</v>
      </c>
      <c r="B391" s="618" t="s">
        <v>794</v>
      </c>
      <c r="C391" s="618" t="s">
        <v>795</v>
      </c>
      <c r="D391" s="631" t="s">
        <v>515</v>
      </c>
      <c r="E391" s="633" t="s">
        <v>792</v>
      </c>
      <c r="F391" s="628"/>
      <c r="G391" s="628">
        <v>0.56899999999999995</v>
      </c>
      <c r="H391" s="628"/>
      <c r="I391" s="626">
        <f t="shared" si="63"/>
        <v>15.193517999999999</v>
      </c>
      <c r="J391" s="628">
        <v>1</v>
      </c>
      <c r="K391" s="140">
        <f t="shared" si="56"/>
        <v>8.6451117419999992</v>
      </c>
      <c r="L391" s="140">
        <f t="shared" si="57"/>
        <v>0</v>
      </c>
      <c r="M391" s="140">
        <f t="shared" si="58"/>
        <v>0</v>
      </c>
      <c r="N391" s="140">
        <f t="shared" si="59"/>
        <v>0</v>
      </c>
      <c r="O391" s="140">
        <f t="shared" si="60"/>
        <v>8.6451117419999992</v>
      </c>
      <c r="P391" s="140">
        <f t="shared" si="61"/>
        <v>0</v>
      </c>
      <c r="Q391" s="156">
        <f t="shared" si="54"/>
        <v>33.253285585916984</v>
      </c>
      <c r="R391" s="157">
        <v>2.1886495007882298</v>
      </c>
      <c r="S391" s="73">
        <f t="shared" si="62"/>
        <v>18.921119498386762</v>
      </c>
      <c r="T391" t="s">
        <v>793</v>
      </c>
    </row>
    <row r="392" spans="1:20">
      <c r="A392" s="618" t="s">
        <v>746</v>
      </c>
      <c r="B392" s="618" t="s">
        <v>794</v>
      </c>
      <c r="C392" s="618" t="s">
        <v>795</v>
      </c>
      <c r="D392" s="631" t="s">
        <v>515</v>
      </c>
      <c r="E392" s="633" t="s">
        <v>792</v>
      </c>
      <c r="F392" s="628"/>
      <c r="G392" s="628">
        <v>0.56899999999999995</v>
      </c>
      <c r="H392" s="628"/>
      <c r="I392" s="626">
        <f t="shared" si="63"/>
        <v>15.193517999999999</v>
      </c>
      <c r="J392" s="628">
        <v>1</v>
      </c>
      <c r="K392" s="140">
        <f t="shared" si="56"/>
        <v>8.6451117419999992</v>
      </c>
      <c r="L392" s="140">
        <f t="shared" si="57"/>
        <v>0</v>
      </c>
      <c r="M392" s="140">
        <f t="shared" si="58"/>
        <v>0</v>
      </c>
      <c r="N392" s="140">
        <f t="shared" si="59"/>
        <v>0</v>
      </c>
      <c r="O392" s="140">
        <f t="shared" si="60"/>
        <v>8.6451117419999992</v>
      </c>
      <c r="P392" s="140">
        <f t="shared" si="61"/>
        <v>0</v>
      </c>
      <c r="Q392" s="156">
        <f t="shared" si="54"/>
        <v>33.253285585916984</v>
      </c>
      <c r="R392" s="157">
        <v>2.1886495007882298</v>
      </c>
      <c r="S392" s="73">
        <f t="shared" si="62"/>
        <v>18.921119498386762</v>
      </c>
      <c r="T392" t="s">
        <v>793</v>
      </c>
    </row>
    <row r="393" spans="1:20">
      <c r="A393" s="618" t="s">
        <v>746</v>
      </c>
      <c r="B393" s="618" t="s">
        <v>794</v>
      </c>
      <c r="C393" s="618" t="s">
        <v>795</v>
      </c>
      <c r="D393" s="631" t="s">
        <v>515</v>
      </c>
      <c r="E393" s="633" t="s">
        <v>792</v>
      </c>
      <c r="F393" s="628"/>
      <c r="G393" s="628">
        <v>0.56899999999999995</v>
      </c>
      <c r="H393" s="628"/>
      <c r="I393" s="626">
        <f t="shared" si="63"/>
        <v>15.193517999999999</v>
      </c>
      <c r="J393" s="628">
        <v>2</v>
      </c>
      <c r="K393" s="140">
        <f t="shared" si="56"/>
        <v>17.290223483999998</v>
      </c>
      <c r="L393" s="140">
        <f t="shared" si="57"/>
        <v>0</v>
      </c>
      <c r="M393" s="140">
        <f t="shared" si="58"/>
        <v>0</v>
      </c>
      <c r="N393" s="140">
        <f t="shared" si="59"/>
        <v>0</v>
      </c>
      <c r="O393" s="140">
        <f t="shared" si="60"/>
        <v>17.290223483999998</v>
      </c>
      <c r="P393" s="140">
        <f t="shared" si="61"/>
        <v>0</v>
      </c>
      <c r="Q393" s="156">
        <f t="shared" si="54"/>
        <v>33.253285585916984</v>
      </c>
      <c r="R393" s="157">
        <v>2.1886495007882298</v>
      </c>
      <c r="S393" s="73">
        <f t="shared" si="62"/>
        <v>37.842238996773524</v>
      </c>
      <c r="T393" t="s">
        <v>793</v>
      </c>
    </row>
    <row r="394" spans="1:20">
      <c r="A394" s="618" t="s">
        <v>746</v>
      </c>
      <c r="B394" s="618" t="s">
        <v>794</v>
      </c>
      <c r="C394" s="618" t="s">
        <v>795</v>
      </c>
      <c r="D394" s="631" t="s">
        <v>515</v>
      </c>
      <c r="E394" s="633" t="s">
        <v>792</v>
      </c>
      <c r="F394" s="628"/>
      <c r="G394" s="628">
        <v>0.378</v>
      </c>
      <c r="H394" s="628"/>
      <c r="I394" s="626">
        <f t="shared" si="63"/>
        <v>15.193517999999999</v>
      </c>
      <c r="J394" s="628">
        <v>69</v>
      </c>
      <c r="K394" s="140">
        <f t="shared" si="56"/>
        <v>396.27733647599996</v>
      </c>
      <c r="L394" s="140">
        <f t="shared" si="57"/>
        <v>0</v>
      </c>
      <c r="M394" s="140">
        <f t="shared" si="58"/>
        <v>0</v>
      </c>
      <c r="N394" s="140">
        <f t="shared" si="59"/>
        <v>0</v>
      </c>
      <c r="O394" s="140">
        <f t="shared" si="60"/>
        <v>396.27733647599996</v>
      </c>
      <c r="P394" s="140">
        <f t="shared" si="61"/>
        <v>0</v>
      </c>
      <c r="Q394" s="156">
        <f t="shared" si="54"/>
        <v>33.253285585916984</v>
      </c>
      <c r="R394" s="157">
        <v>2.1886495007882298</v>
      </c>
      <c r="S394" s="73">
        <f t="shared" si="62"/>
        <v>867.31219465188667</v>
      </c>
      <c r="T394" t="s">
        <v>793</v>
      </c>
    </row>
    <row r="395" spans="1:20">
      <c r="A395" s="618" t="s">
        <v>746</v>
      </c>
      <c r="B395" s="618" t="s">
        <v>790</v>
      </c>
      <c r="C395" s="618" t="s">
        <v>888</v>
      </c>
      <c r="D395" s="631" t="s">
        <v>497</v>
      </c>
      <c r="E395" s="631" t="s">
        <v>792</v>
      </c>
      <c r="F395" s="628">
        <v>0.13</v>
      </c>
      <c r="G395" s="628">
        <v>0.15</v>
      </c>
      <c r="H395" s="628"/>
      <c r="I395" s="626">
        <f t="shared" si="63"/>
        <v>15.193517999999999</v>
      </c>
      <c r="J395" s="628">
        <v>73</v>
      </c>
      <c r="K395" s="140">
        <f t="shared" si="56"/>
        <v>21.627972873000001</v>
      </c>
      <c r="L395" s="140">
        <f t="shared" si="57"/>
        <v>21.627972873000001</v>
      </c>
      <c r="M395" s="140">
        <f t="shared" si="58"/>
        <v>0</v>
      </c>
      <c r="N395" s="140">
        <f t="shared" si="59"/>
        <v>0</v>
      </c>
      <c r="O395" s="140">
        <f t="shared" si="60"/>
        <v>0</v>
      </c>
      <c r="P395" s="140">
        <f t="shared" si="61"/>
        <v>0</v>
      </c>
      <c r="Q395" s="156">
        <f t="shared" si="54"/>
        <v>31.003063253035361</v>
      </c>
      <c r="R395" s="125">
        <v>2.0405453992311302</v>
      </c>
      <c r="S395" s="73">
        <f t="shared" si="62"/>
        <v>44.132860540695845</v>
      </c>
      <c r="T395" t="s">
        <v>793</v>
      </c>
    </row>
    <row r="396" spans="1:20">
      <c r="A396" s="618" t="s">
        <v>746</v>
      </c>
      <c r="B396" s="618" t="s">
        <v>815</v>
      </c>
      <c r="C396" s="618" t="s">
        <v>911</v>
      </c>
      <c r="D396" s="631" t="s">
        <v>515</v>
      </c>
      <c r="E396" s="631" t="s">
        <v>817</v>
      </c>
      <c r="F396" s="628"/>
      <c r="G396" s="628">
        <v>0.15</v>
      </c>
      <c r="H396" s="628"/>
      <c r="I396" s="626">
        <v>28.26</v>
      </c>
      <c r="J396" s="628">
        <v>8</v>
      </c>
      <c r="K396" s="140">
        <f t="shared" si="56"/>
        <v>33.911999999999999</v>
      </c>
      <c r="L396" s="140">
        <f t="shared" si="57"/>
        <v>0</v>
      </c>
      <c r="M396" s="140">
        <f t="shared" si="58"/>
        <v>33.911999999999999</v>
      </c>
      <c r="N396" s="140">
        <f t="shared" si="59"/>
        <v>0</v>
      </c>
      <c r="O396" s="140">
        <f t="shared" si="60"/>
        <v>0</v>
      </c>
      <c r="P396" s="140">
        <f t="shared" si="61"/>
        <v>0</v>
      </c>
      <c r="Q396" s="156">
        <f t="shared" si="54"/>
        <v>84.445869679453438</v>
      </c>
      <c r="R396" s="125">
        <v>2.98817656332107</v>
      </c>
      <c r="S396" s="73">
        <f t="shared" si="62"/>
        <v>101.33504361534412</v>
      </c>
      <c r="T396" t="s">
        <v>793</v>
      </c>
    </row>
    <row r="397" spans="1:20">
      <c r="A397" s="618" t="s">
        <v>746</v>
      </c>
      <c r="B397" s="618" t="s">
        <v>797</v>
      </c>
      <c r="C397" s="618" t="s">
        <v>899</v>
      </c>
      <c r="D397" s="631" t="s">
        <v>513</v>
      </c>
      <c r="E397" s="631" t="s">
        <v>799</v>
      </c>
      <c r="F397" s="628"/>
      <c r="G397" s="628"/>
      <c r="H397" s="628"/>
      <c r="I397" s="626">
        <v>0.06</v>
      </c>
      <c r="J397" s="628">
        <v>64</v>
      </c>
      <c r="K397" s="140">
        <f t="shared" si="56"/>
        <v>3.84</v>
      </c>
      <c r="L397" s="140">
        <f t="shared" si="57"/>
        <v>0</v>
      </c>
      <c r="M397" s="140">
        <f t="shared" si="58"/>
        <v>0</v>
      </c>
      <c r="N397" s="140">
        <f t="shared" si="59"/>
        <v>0</v>
      </c>
      <c r="O397" s="140">
        <f t="shared" si="60"/>
        <v>0</v>
      </c>
      <c r="P397" s="140">
        <f t="shared" si="61"/>
        <v>3.84</v>
      </c>
      <c r="Q397" s="156">
        <f t="shared" si="54"/>
        <v>0.1928008407777192</v>
      </c>
      <c r="R397" s="125">
        <v>3.2133473462953202</v>
      </c>
      <c r="S397" s="73">
        <f t="shared" si="62"/>
        <v>12.339253809774029</v>
      </c>
      <c r="T397" t="s">
        <v>800</v>
      </c>
    </row>
    <row r="398" spans="1:20">
      <c r="A398" s="618" t="s">
        <v>746</v>
      </c>
      <c r="B398" s="618" t="s">
        <v>797</v>
      </c>
      <c r="C398" s="618" t="s">
        <v>912</v>
      </c>
      <c r="D398" s="631" t="s">
        <v>513</v>
      </c>
      <c r="E398" s="631" t="s">
        <v>799</v>
      </c>
      <c r="F398" s="628"/>
      <c r="G398" s="628"/>
      <c r="H398" s="628"/>
      <c r="I398" s="626">
        <v>0.25</v>
      </c>
      <c r="J398" s="628">
        <v>32</v>
      </c>
      <c r="K398" s="140">
        <f t="shared" si="56"/>
        <v>8</v>
      </c>
      <c r="L398" s="140">
        <f t="shared" si="57"/>
        <v>0</v>
      </c>
      <c r="M398" s="140">
        <f t="shared" si="58"/>
        <v>0</v>
      </c>
      <c r="N398" s="140">
        <f t="shared" si="59"/>
        <v>0</v>
      </c>
      <c r="O398" s="140">
        <f t="shared" si="60"/>
        <v>0</v>
      </c>
      <c r="P398" s="140">
        <f t="shared" si="61"/>
        <v>8</v>
      </c>
      <c r="Q398" s="156">
        <f t="shared" si="54"/>
        <v>0.80333683657383004</v>
      </c>
      <c r="R398" s="125">
        <v>3.2133473462953202</v>
      </c>
      <c r="S398" s="73">
        <f t="shared" si="62"/>
        <v>25.706778770362561</v>
      </c>
      <c r="T398" t="s">
        <v>800</v>
      </c>
    </row>
    <row r="399" spans="1:20">
      <c r="A399" s="618" t="s">
        <v>746</v>
      </c>
      <c r="B399" s="618" t="s">
        <v>797</v>
      </c>
      <c r="C399" s="618" t="s">
        <v>913</v>
      </c>
      <c r="D399" s="631" t="s">
        <v>513</v>
      </c>
      <c r="E399" s="631" t="s">
        <v>799</v>
      </c>
      <c r="F399" s="628"/>
      <c r="G399" s="628">
        <v>1</v>
      </c>
      <c r="H399" s="628"/>
      <c r="I399" s="626">
        <v>0.1</v>
      </c>
      <c r="J399" s="628">
        <v>8</v>
      </c>
      <c r="K399" s="140">
        <f t="shared" si="56"/>
        <v>0.8</v>
      </c>
      <c r="L399" s="140">
        <f t="shared" si="57"/>
        <v>0</v>
      </c>
      <c r="M399" s="140">
        <f t="shared" si="58"/>
        <v>0</v>
      </c>
      <c r="N399" s="140">
        <f t="shared" si="59"/>
        <v>0</v>
      </c>
      <c r="O399" s="140">
        <f t="shared" si="60"/>
        <v>0</v>
      </c>
      <c r="P399" s="140">
        <f t="shared" si="61"/>
        <v>0.8</v>
      </c>
      <c r="Q399" s="156">
        <f t="shared" si="54"/>
        <v>0.32133473462953205</v>
      </c>
      <c r="R399" s="125">
        <v>3.2133473462953202</v>
      </c>
      <c r="S399" s="73">
        <f t="shared" si="62"/>
        <v>2.5706778770362564</v>
      </c>
      <c r="T399" t="s">
        <v>800</v>
      </c>
    </row>
    <row r="400" spans="1:20">
      <c r="A400" s="618" t="s">
        <v>746</v>
      </c>
      <c r="B400" s="618" t="s">
        <v>818</v>
      </c>
      <c r="C400" s="618" t="s">
        <v>914</v>
      </c>
      <c r="D400" s="631" t="s">
        <v>513</v>
      </c>
      <c r="E400" s="631" t="s">
        <v>799</v>
      </c>
      <c r="F400" s="628"/>
      <c r="G400" s="628"/>
      <c r="H400" s="628"/>
      <c r="I400" s="626">
        <v>4.54</v>
      </c>
      <c r="J400" s="628">
        <v>8</v>
      </c>
      <c r="K400" s="140">
        <f t="shared" si="56"/>
        <v>36.32</v>
      </c>
      <c r="L400" s="140">
        <f t="shared" si="57"/>
        <v>0</v>
      </c>
      <c r="M400" s="140">
        <f t="shared" si="58"/>
        <v>0</v>
      </c>
      <c r="N400" s="140">
        <f t="shared" si="59"/>
        <v>36.32</v>
      </c>
      <c r="O400" s="140">
        <f t="shared" si="60"/>
        <v>0</v>
      </c>
      <c r="P400" s="140">
        <f t="shared" si="61"/>
        <v>0</v>
      </c>
      <c r="Q400" s="156">
        <f t="shared" si="54"/>
        <v>20.517078297425098</v>
      </c>
      <c r="R400" s="125">
        <v>4.51918024172359</v>
      </c>
      <c r="S400" s="73">
        <f t="shared" si="62"/>
        <v>164.13662637940078</v>
      </c>
      <c r="T400" t="s">
        <v>793</v>
      </c>
    </row>
    <row r="401" spans="1:20">
      <c r="A401" s="618" t="s">
        <v>746</v>
      </c>
      <c r="B401" s="618" t="s">
        <v>815</v>
      </c>
      <c r="C401" s="618" t="s">
        <v>915</v>
      </c>
      <c r="D401" s="631" t="s">
        <v>515</v>
      </c>
      <c r="E401" s="631" t="s">
        <v>817</v>
      </c>
      <c r="F401" s="628"/>
      <c r="G401" s="628">
        <v>2.1440000000000001</v>
      </c>
      <c r="H401" s="628"/>
      <c r="I401" s="626">
        <v>8.6300000000000008</v>
      </c>
      <c r="J401" s="628">
        <v>8</v>
      </c>
      <c r="K401" s="140">
        <f t="shared" si="56"/>
        <v>148.02176000000003</v>
      </c>
      <c r="L401" s="140">
        <f t="shared" si="57"/>
        <v>0</v>
      </c>
      <c r="M401" s="140">
        <f t="shared" si="58"/>
        <v>148.02176000000003</v>
      </c>
      <c r="N401" s="140">
        <f t="shared" si="59"/>
        <v>0</v>
      </c>
      <c r="O401" s="140">
        <f t="shared" si="60"/>
        <v>0</v>
      </c>
      <c r="P401" s="140">
        <f t="shared" si="61"/>
        <v>0</v>
      </c>
      <c r="Q401" s="156">
        <f t="shared" si="54"/>
        <v>25.787963741460835</v>
      </c>
      <c r="R401" s="125">
        <v>2.98817656332107</v>
      </c>
      <c r="S401" s="73">
        <f t="shared" si="62"/>
        <v>442.31515409353631</v>
      </c>
      <c r="T401" t="s">
        <v>793</v>
      </c>
    </row>
    <row r="402" spans="1:20">
      <c r="A402" s="618" t="s">
        <v>746</v>
      </c>
      <c r="B402" s="618" t="s">
        <v>815</v>
      </c>
      <c r="C402" s="618" t="s">
        <v>915</v>
      </c>
      <c r="D402" s="631" t="s">
        <v>515</v>
      </c>
      <c r="E402" s="631" t="s">
        <v>817</v>
      </c>
      <c r="F402" s="628"/>
      <c r="G402" s="628">
        <v>3.3959999999999999</v>
      </c>
      <c r="H402" s="628"/>
      <c r="I402" s="626">
        <v>8.6300000000000008</v>
      </c>
      <c r="J402" s="628">
        <v>1</v>
      </c>
      <c r="K402" s="140">
        <f t="shared" si="56"/>
        <v>29.307480000000002</v>
      </c>
      <c r="L402" s="140">
        <f t="shared" si="57"/>
        <v>0</v>
      </c>
      <c r="M402" s="140">
        <f t="shared" si="58"/>
        <v>29.307480000000002</v>
      </c>
      <c r="N402" s="140">
        <f t="shared" si="59"/>
        <v>0</v>
      </c>
      <c r="O402" s="140">
        <f t="shared" si="60"/>
        <v>0</v>
      </c>
      <c r="P402" s="140">
        <f t="shared" si="61"/>
        <v>0</v>
      </c>
      <c r="Q402" s="156">
        <f t="shared" si="54"/>
        <v>25.787963741460835</v>
      </c>
      <c r="R402" s="125">
        <v>2.98817656332107</v>
      </c>
      <c r="S402" s="73">
        <f t="shared" si="62"/>
        <v>87.575924866001003</v>
      </c>
      <c r="T402" t="s">
        <v>793</v>
      </c>
    </row>
    <row r="403" spans="1:20">
      <c r="A403" s="618" t="s">
        <v>746</v>
      </c>
      <c r="B403" s="618" t="s">
        <v>815</v>
      </c>
      <c r="C403" s="618" t="s">
        <v>915</v>
      </c>
      <c r="D403" s="631" t="s">
        <v>515</v>
      </c>
      <c r="E403" s="631" t="s">
        <v>817</v>
      </c>
      <c r="F403" s="628"/>
      <c r="G403" s="628">
        <v>1.298</v>
      </c>
      <c r="H403" s="628"/>
      <c r="I403" s="626">
        <v>8.6300000000000008</v>
      </c>
      <c r="J403" s="628">
        <v>2</v>
      </c>
      <c r="K403" s="140">
        <f t="shared" si="56"/>
        <v>22.403480000000002</v>
      </c>
      <c r="L403" s="140">
        <f t="shared" si="57"/>
        <v>0</v>
      </c>
      <c r="M403" s="140">
        <f t="shared" si="58"/>
        <v>22.403480000000002</v>
      </c>
      <c r="N403" s="140">
        <f t="shared" si="59"/>
        <v>0</v>
      </c>
      <c r="O403" s="140">
        <f t="shared" si="60"/>
        <v>0</v>
      </c>
      <c r="P403" s="140">
        <f t="shared" si="61"/>
        <v>0</v>
      </c>
      <c r="Q403" s="156">
        <f t="shared" si="54"/>
        <v>25.787963741460835</v>
      </c>
      <c r="R403" s="125">
        <v>2.98817656332107</v>
      </c>
      <c r="S403" s="73">
        <f t="shared" si="62"/>
        <v>66.945553872832335</v>
      </c>
      <c r="T403" t="s">
        <v>793</v>
      </c>
    </row>
    <row r="404" spans="1:20">
      <c r="A404" s="618" t="s">
        <v>746</v>
      </c>
      <c r="B404" s="618" t="s">
        <v>818</v>
      </c>
      <c r="C404" s="618" t="s">
        <v>916</v>
      </c>
      <c r="D404" s="631" t="s">
        <v>513</v>
      </c>
      <c r="E404" s="631" t="s">
        <v>799</v>
      </c>
      <c r="F404" s="628"/>
      <c r="G404" s="628"/>
      <c r="H404" s="628"/>
      <c r="I404" s="626">
        <v>1.33</v>
      </c>
      <c r="J404" s="628">
        <v>4</v>
      </c>
      <c r="K404" s="140">
        <f t="shared" si="56"/>
        <v>5.32</v>
      </c>
      <c r="L404" s="140">
        <f t="shared" si="57"/>
        <v>0</v>
      </c>
      <c r="M404" s="140">
        <f t="shared" si="58"/>
        <v>0</v>
      </c>
      <c r="N404" s="140">
        <f t="shared" si="59"/>
        <v>5.32</v>
      </c>
      <c r="O404" s="140">
        <f t="shared" si="60"/>
        <v>0</v>
      </c>
      <c r="P404" s="140">
        <f t="shared" si="61"/>
        <v>0</v>
      </c>
      <c r="Q404" s="156">
        <f t="shared" si="54"/>
        <v>6.0105097214923751</v>
      </c>
      <c r="R404" s="125">
        <v>4.51918024172359</v>
      </c>
      <c r="S404" s="73">
        <f t="shared" si="62"/>
        <v>24.0420388859695</v>
      </c>
      <c r="T404" t="s">
        <v>793</v>
      </c>
    </row>
    <row r="405" spans="1:20">
      <c r="A405" s="618" t="s">
        <v>746</v>
      </c>
      <c r="B405" s="618" t="s">
        <v>815</v>
      </c>
      <c r="C405" s="618" t="s">
        <v>915</v>
      </c>
      <c r="D405" s="631" t="s">
        <v>515</v>
      </c>
      <c r="E405" s="631" t="s">
        <v>817</v>
      </c>
      <c r="F405" s="628"/>
      <c r="G405" s="628">
        <v>2.5449999999999999</v>
      </c>
      <c r="H405" s="628"/>
      <c r="I405" s="626">
        <v>8.6300000000000008</v>
      </c>
      <c r="J405" s="628">
        <v>1</v>
      </c>
      <c r="K405" s="140">
        <f t="shared" si="56"/>
        <v>21.963350000000002</v>
      </c>
      <c r="L405" s="140">
        <f t="shared" si="57"/>
        <v>0</v>
      </c>
      <c r="M405" s="140">
        <f t="shared" si="58"/>
        <v>21.963350000000002</v>
      </c>
      <c r="N405" s="140">
        <f t="shared" si="59"/>
        <v>0</v>
      </c>
      <c r="O405" s="140">
        <f t="shared" si="60"/>
        <v>0</v>
      </c>
      <c r="P405" s="140">
        <f t="shared" si="61"/>
        <v>0</v>
      </c>
      <c r="Q405" s="156">
        <f t="shared" si="54"/>
        <v>25.787963741460835</v>
      </c>
      <c r="R405" s="125">
        <v>2.98817656332107</v>
      </c>
      <c r="S405" s="73">
        <f t="shared" si="62"/>
        <v>65.630367722017823</v>
      </c>
      <c r="T405" t="s">
        <v>793</v>
      </c>
    </row>
    <row r="406" spans="1:20">
      <c r="A406" s="618" t="s">
        <v>746</v>
      </c>
      <c r="B406" s="618" t="s">
        <v>815</v>
      </c>
      <c r="C406" s="618" t="s">
        <v>915</v>
      </c>
      <c r="D406" s="631" t="s">
        <v>515</v>
      </c>
      <c r="E406" s="631" t="s">
        <v>817</v>
      </c>
      <c r="F406" s="628"/>
      <c r="G406" s="628">
        <v>1.986</v>
      </c>
      <c r="H406" s="628"/>
      <c r="I406" s="626">
        <v>8.6300000000000008</v>
      </c>
      <c r="J406" s="628">
        <v>1</v>
      </c>
      <c r="K406" s="140">
        <f t="shared" si="56"/>
        <v>17.139180000000003</v>
      </c>
      <c r="L406" s="140">
        <f t="shared" si="57"/>
        <v>0</v>
      </c>
      <c r="M406" s="140">
        <f t="shared" si="58"/>
        <v>17.139180000000003</v>
      </c>
      <c r="N406" s="140">
        <f t="shared" si="59"/>
        <v>0</v>
      </c>
      <c r="O406" s="140">
        <f t="shared" si="60"/>
        <v>0</v>
      </c>
      <c r="P406" s="140">
        <f t="shared" si="61"/>
        <v>0</v>
      </c>
      <c r="Q406" s="156">
        <f t="shared" si="54"/>
        <v>25.787963741460835</v>
      </c>
      <c r="R406" s="125">
        <v>2.98817656332107</v>
      </c>
      <c r="S406" s="73">
        <f t="shared" si="62"/>
        <v>51.214895990541223</v>
      </c>
      <c r="T406" t="s">
        <v>793</v>
      </c>
    </row>
    <row r="407" spans="1:20">
      <c r="A407" s="618" t="s">
        <v>746</v>
      </c>
      <c r="B407" s="618" t="s">
        <v>815</v>
      </c>
      <c r="C407" s="618" t="s">
        <v>915</v>
      </c>
      <c r="D407" s="631" t="s">
        <v>515</v>
      </c>
      <c r="E407" s="631" t="s">
        <v>817</v>
      </c>
      <c r="F407" s="628"/>
      <c r="G407" s="628">
        <v>1.772</v>
      </c>
      <c r="H407" s="628"/>
      <c r="I407" s="626">
        <v>8.6300000000000008</v>
      </c>
      <c r="J407" s="628">
        <v>1</v>
      </c>
      <c r="K407" s="140">
        <f t="shared" si="56"/>
        <v>15.292360000000002</v>
      </c>
      <c r="L407" s="140">
        <f t="shared" si="57"/>
        <v>0</v>
      </c>
      <c r="M407" s="140">
        <f t="shared" si="58"/>
        <v>15.292360000000002</v>
      </c>
      <c r="N407" s="140">
        <f t="shared" si="59"/>
        <v>0</v>
      </c>
      <c r="O407" s="140">
        <f t="shared" si="60"/>
        <v>0</v>
      </c>
      <c r="P407" s="140">
        <f t="shared" si="61"/>
        <v>0</v>
      </c>
      <c r="Q407" s="156">
        <f t="shared" si="54"/>
        <v>25.787963741460835</v>
      </c>
      <c r="R407" s="125">
        <v>2.98817656332107</v>
      </c>
      <c r="S407" s="73">
        <f t="shared" si="62"/>
        <v>45.6962717498686</v>
      </c>
      <c r="T407" t="s">
        <v>793</v>
      </c>
    </row>
    <row r="408" spans="1:20">
      <c r="A408" s="618" t="s">
        <v>746</v>
      </c>
      <c r="B408" s="618" t="s">
        <v>815</v>
      </c>
      <c r="C408" s="618" t="s">
        <v>915</v>
      </c>
      <c r="D408" s="631" t="s">
        <v>515</v>
      </c>
      <c r="E408" s="631" t="s">
        <v>817</v>
      </c>
      <c r="F408" s="628"/>
      <c r="G408" s="628">
        <v>4.1719999999999997</v>
      </c>
      <c r="H408" s="628"/>
      <c r="I408" s="626">
        <v>8.6300000000000008</v>
      </c>
      <c r="J408" s="628">
        <v>6</v>
      </c>
      <c r="K408" s="140">
        <f t="shared" si="56"/>
        <v>216.02616</v>
      </c>
      <c r="L408" s="140">
        <f t="shared" si="57"/>
        <v>0</v>
      </c>
      <c r="M408" s="140">
        <f t="shared" si="58"/>
        <v>216.02616</v>
      </c>
      <c r="N408" s="140">
        <f t="shared" si="59"/>
        <v>0</v>
      </c>
      <c r="O408" s="140">
        <f t="shared" si="60"/>
        <v>0</v>
      </c>
      <c r="P408" s="140">
        <f t="shared" si="61"/>
        <v>0</v>
      </c>
      <c r="Q408" s="156">
        <f t="shared" si="54"/>
        <v>25.787963741460835</v>
      </c>
      <c r="R408" s="125">
        <v>2.98817656332107</v>
      </c>
      <c r="S408" s="73">
        <f t="shared" si="62"/>
        <v>645.52430837624763</v>
      </c>
      <c r="T408" t="s">
        <v>793</v>
      </c>
    </row>
    <row r="409" spans="1:20">
      <c r="A409" s="618" t="s">
        <v>746</v>
      </c>
      <c r="B409" s="618" t="s">
        <v>815</v>
      </c>
      <c r="C409" s="618" t="s">
        <v>915</v>
      </c>
      <c r="D409" s="631" t="s">
        <v>515</v>
      </c>
      <c r="E409" s="631" t="s">
        <v>817</v>
      </c>
      <c r="F409" s="628"/>
      <c r="G409" s="628">
        <v>2.0230000000000001</v>
      </c>
      <c r="H409" s="628"/>
      <c r="I409" s="626">
        <v>8.6300000000000008</v>
      </c>
      <c r="J409" s="628">
        <v>1</v>
      </c>
      <c r="K409" s="140">
        <f t="shared" si="56"/>
        <v>17.458490000000001</v>
      </c>
      <c r="L409" s="140">
        <f t="shared" si="57"/>
        <v>0</v>
      </c>
      <c r="M409" s="140">
        <f t="shared" si="58"/>
        <v>17.458490000000001</v>
      </c>
      <c r="N409" s="140">
        <f t="shared" si="59"/>
        <v>0</v>
      </c>
      <c r="O409" s="140">
        <f t="shared" si="60"/>
        <v>0</v>
      </c>
      <c r="P409" s="140">
        <f t="shared" si="61"/>
        <v>0</v>
      </c>
      <c r="Q409" s="156">
        <f t="shared" si="54"/>
        <v>25.787963741460835</v>
      </c>
      <c r="R409" s="125">
        <v>2.98817656332107</v>
      </c>
      <c r="S409" s="73">
        <f t="shared" si="62"/>
        <v>52.169050648975272</v>
      </c>
      <c r="T409" t="s">
        <v>793</v>
      </c>
    </row>
    <row r="410" spans="1:20">
      <c r="A410" s="618" t="s">
        <v>746</v>
      </c>
      <c r="B410" s="618" t="s">
        <v>815</v>
      </c>
      <c r="C410" s="618" t="s">
        <v>915</v>
      </c>
      <c r="D410" s="631" t="s">
        <v>515</v>
      </c>
      <c r="E410" s="631" t="s">
        <v>817</v>
      </c>
      <c r="F410" s="628"/>
      <c r="G410" s="628">
        <v>5.819</v>
      </c>
      <c r="H410" s="628"/>
      <c r="I410" s="626">
        <v>8.6300000000000008</v>
      </c>
      <c r="J410" s="628">
        <v>23</v>
      </c>
      <c r="K410" s="140">
        <f t="shared" si="56"/>
        <v>1155.01331</v>
      </c>
      <c r="L410" s="140">
        <f t="shared" si="57"/>
        <v>0</v>
      </c>
      <c r="M410" s="140">
        <f t="shared" si="58"/>
        <v>1155.01331</v>
      </c>
      <c r="N410" s="140">
        <f t="shared" si="59"/>
        <v>0</v>
      </c>
      <c r="O410" s="140">
        <f t="shared" si="60"/>
        <v>0</v>
      </c>
      <c r="P410" s="140">
        <f t="shared" si="61"/>
        <v>0</v>
      </c>
      <c r="Q410" s="156">
        <f t="shared" si="54"/>
        <v>25.787963741460835</v>
      </c>
      <c r="R410" s="125">
        <v>2.98817656332107</v>
      </c>
      <c r="S410" s="73">
        <f t="shared" si="62"/>
        <v>3451.3837032658939</v>
      </c>
      <c r="T410" t="s">
        <v>793</v>
      </c>
    </row>
    <row r="411" spans="1:20">
      <c r="A411" s="618" t="s">
        <v>746</v>
      </c>
      <c r="B411" s="618" t="s">
        <v>818</v>
      </c>
      <c r="C411" s="618" t="s">
        <v>917</v>
      </c>
      <c r="D411" s="631" t="s">
        <v>513</v>
      </c>
      <c r="E411" s="631" t="s">
        <v>799</v>
      </c>
      <c r="F411" s="628"/>
      <c r="G411" s="628"/>
      <c r="H411" s="628"/>
      <c r="I411" s="626">
        <v>2.36</v>
      </c>
      <c r="J411" s="628">
        <v>8</v>
      </c>
      <c r="K411" s="140">
        <f t="shared" si="56"/>
        <v>18.88</v>
      </c>
      <c r="L411" s="140">
        <f t="shared" si="57"/>
        <v>0</v>
      </c>
      <c r="M411" s="140">
        <f t="shared" si="58"/>
        <v>0</v>
      </c>
      <c r="N411" s="140">
        <f t="shared" si="59"/>
        <v>18.88</v>
      </c>
      <c r="O411" s="140">
        <f t="shared" si="60"/>
        <v>0</v>
      </c>
      <c r="P411" s="140">
        <f t="shared" si="61"/>
        <v>0</v>
      </c>
      <c r="Q411" s="156">
        <f t="shared" si="54"/>
        <v>10.665265370467672</v>
      </c>
      <c r="R411" s="125">
        <v>4.51918024172359</v>
      </c>
      <c r="S411" s="73">
        <f t="shared" si="62"/>
        <v>85.322122963741378</v>
      </c>
      <c r="T411" t="s">
        <v>793</v>
      </c>
    </row>
    <row r="412" spans="1:20">
      <c r="A412" s="618" t="s">
        <v>746</v>
      </c>
      <c r="B412" s="618" t="s">
        <v>818</v>
      </c>
      <c r="C412" s="618" t="s">
        <v>918</v>
      </c>
      <c r="D412" s="631" t="s">
        <v>513</v>
      </c>
      <c r="E412" s="631" t="s">
        <v>799</v>
      </c>
      <c r="F412" s="628"/>
      <c r="G412" s="628"/>
      <c r="H412" s="628"/>
      <c r="I412" s="626">
        <v>4.5</v>
      </c>
      <c r="J412" s="628">
        <v>2</v>
      </c>
      <c r="K412" s="140">
        <f t="shared" si="56"/>
        <v>9</v>
      </c>
      <c r="L412" s="140">
        <f t="shared" si="57"/>
        <v>0</v>
      </c>
      <c r="M412" s="140">
        <f t="shared" si="58"/>
        <v>0</v>
      </c>
      <c r="N412" s="140">
        <f t="shared" si="59"/>
        <v>9</v>
      </c>
      <c r="O412" s="140">
        <f t="shared" si="60"/>
        <v>0</v>
      </c>
      <c r="P412" s="140">
        <f t="shared" si="61"/>
        <v>0</v>
      </c>
      <c r="Q412" s="156">
        <f t="shared" ref="Q412:Q475" si="64">I412*R412</f>
        <v>32.896347871781387</v>
      </c>
      <c r="R412" s="125">
        <v>7.3102995270625302</v>
      </c>
      <c r="S412" s="73">
        <f t="shared" si="62"/>
        <v>65.792695743562774</v>
      </c>
      <c r="T412" t="s">
        <v>793</v>
      </c>
    </row>
    <row r="413" spans="1:20">
      <c r="A413" s="618" t="s">
        <v>746</v>
      </c>
      <c r="B413" s="618" t="s">
        <v>818</v>
      </c>
      <c r="C413" s="618" t="s">
        <v>919</v>
      </c>
      <c r="D413" s="631" t="s">
        <v>513</v>
      </c>
      <c r="E413" s="631" t="s">
        <v>799</v>
      </c>
      <c r="F413" s="628"/>
      <c r="G413" s="628"/>
      <c r="H413" s="628"/>
      <c r="I413" s="626">
        <v>5.72</v>
      </c>
      <c r="J413" s="628">
        <v>1</v>
      </c>
      <c r="K413" s="140">
        <f t="shared" si="56"/>
        <v>5.72</v>
      </c>
      <c r="L413" s="140">
        <f t="shared" si="57"/>
        <v>0</v>
      </c>
      <c r="M413" s="140">
        <f t="shared" si="58"/>
        <v>0</v>
      </c>
      <c r="N413" s="140">
        <f t="shared" si="59"/>
        <v>5.72</v>
      </c>
      <c r="O413" s="140">
        <f t="shared" si="60"/>
        <v>0</v>
      </c>
      <c r="P413" s="140">
        <f t="shared" si="61"/>
        <v>0</v>
      </c>
      <c r="Q413" s="156">
        <f t="shared" si="64"/>
        <v>25.849710982658934</v>
      </c>
      <c r="R413" s="125">
        <v>4.51918024172359</v>
      </c>
      <c r="S413" s="73">
        <f t="shared" si="62"/>
        <v>25.849710982658934</v>
      </c>
      <c r="T413" t="s">
        <v>793</v>
      </c>
    </row>
    <row r="414" spans="1:20">
      <c r="A414" s="618" t="s">
        <v>746</v>
      </c>
      <c r="B414" s="618" t="s">
        <v>815</v>
      </c>
      <c r="C414" s="618" t="s">
        <v>920</v>
      </c>
      <c r="D414" s="631" t="s">
        <v>515</v>
      </c>
      <c r="E414" s="631" t="s">
        <v>817</v>
      </c>
      <c r="F414" s="628"/>
      <c r="G414" s="628">
        <v>1</v>
      </c>
      <c r="H414" s="628"/>
      <c r="I414" s="626">
        <v>16.07</v>
      </c>
      <c r="J414" s="628">
        <v>1</v>
      </c>
      <c r="K414" s="140">
        <f t="shared" si="56"/>
        <v>16.07</v>
      </c>
      <c r="L414" s="140">
        <f t="shared" si="57"/>
        <v>0</v>
      </c>
      <c r="M414" s="140">
        <f t="shared" si="58"/>
        <v>16.07</v>
      </c>
      <c r="N414" s="140">
        <f t="shared" si="59"/>
        <v>0</v>
      </c>
      <c r="O414" s="140">
        <f t="shared" si="60"/>
        <v>0</v>
      </c>
      <c r="P414" s="140">
        <f t="shared" si="61"/>
        <v>0</v>
      </c>
      <c r="Q414" s="156">
        <f t="shared" si="64"/>
        <v>48.019997372569598</v>
      </c>
      <c r="R414" s="125">
        <v>2.98817656332107</v>
      </c>
      <c r="S414" s="73">
        <f t="shared" si="62"/>
        <v>48.019997372569598</v>
      </c>
      <c r="T414" t="s">
        <v>793</v>
      </c>
    </row>
    <row r="415" spans="1:20">
      <c r="A415" s="618" t="s">
        <v>746</v>
      </c>
      <c r="B415" s="618" t="s">
        <v>818</v>
      </c>
      <c r="C415" s="618" t="s">
        <v>921</v>
      </c>
      <c r="D415" s="631" t="s">
        <v>513</v>
      </c>
      <c r="E415" s="631" t="s">
        <v>799</v>
      </c>
      <c r="F415" s="628"/>
      <c r="G415" s="628"/>
      <c r="H415" s="628"/>
      <c r="I415" s="626">
        <v>3.95</v>
      </c>
      <c r="J415" s="628">
        <v>1</v>
      </c>
      <c r="K415" s="140">
        <f t="shared" si="56"/>
        <v>3.95</v>
      </c>
      <c r="L415" s="140">
        <f t="shared" si="57"/>
        <v>0</v>
      </c>
      <c r="M415" s="140">
        <f t="shared" si="58"/>
        <v>0</v>
      </c>
      <c r="N415" s="140">
        <f t="shared" si="59"/>
        <v>3.95</v>
      </c>
      <c r="O415" s="140">
        <f t="shared" si="60"/>
        <v>0</v>
      </c>
      <c r="P415" s="140">
        <f t="shared" si="61"/>
        <v>0</v>
      </c>
      <c r="Q415" s="156">
        <f t="shared" si="64"/>
        <v>17.850761954808181</v>
      </c>
      <c r="R415" s="125">
        <v>4.51918024172359</v>
      </c>
      <c r="S415" s="73">
        <f t="shared" si="62"/>
        <v>17.850761954808181</v>
      </c>
      <c r="T415" t="s">
        <v>793</v>
      </c>
    </row>
    <row r="416" spans="1:20">
      <c r="A416" s="618" t="s">
        <v>746</v>
      </c>
      <c r="B416" s="618" t="s">
        <v>815</v>
      </c>
      <c r="C416" s="618" t="s">
        <v>920</v>
      </c>
      <c r="D416" s="631" t="s">
        <v>515</v>
      </c>
      <c r="E416" s="631" t="s">
        <v>817</v>
      </c>
      <c r="F416" s="628"/>
      <c r="G416" s="628">
        <v>10.865</v>
      </c>
      <c r="H416" s="628"/>
      <c r="I416" s="626">
        <v>16.07</v>
      </c>
      <c r="J416" s="628">
        <v>1</v>
      </c>
      <c r="K416" s="140">
        <f t="shared" si="56"/>
        <v>174.60055</v>
      </c>
      <c r="L416" s="140">
        <f t="shared" si="57"/>
        <v>0</v>
      </c>
      <c r="M416" s="140">
        <f t="shared" si="58"/>
        <v>174.60055</v>
      </c>
      <c r="N416" s="140">
        <f t="shared" si="59"/>
        <v>0</v>
      </c>
      <c r="O416" s="140">
        <f t="shared" si="60"/>
        <v>0</v>
      </c>
      <c r="P416" s="140">
        <f t="shared" si="61"/>
        <v>0</v>
      </c>
      <c r="Q416" s="156">
        <f t="shared" si="64"/>
        <v>48.019997372569598</v>
      </c>
      <c r="R416" s="125">
        <v>2.98817656332107</v>
      </c>
      <c r="S416" s="73">
        <f t="shared" si="62"/>
        <v>521.73727145296868</v>
      </c>
      <c r="T416" t="s">
        <v>793</v>
      </c>
    </row>
    <row r="417" spans="1:20">
      <c r="A417" s="618" t="s">
        <v>746</v>
      </c>
      <c r="B417" s="618" t="s">
        <v>818</v>
      </c>
      <c r="C417" s="618" t="s">
        <v>922</v>
      </c>
      <c r="D417" s="631" t="s">
        <v>513</v>
      </c>
      <c r="E417" s="631" t="s">
        <v>799</v>
      </c>
      <c r="F417" s="628"/>
      <c r="G417" s="628">
        <v>1</v>
      </c>
      <c r="H417" s="628"/>
      <c r="I417" s="626">
        <v>7.48</v>
      </c>
      <c r="J417" s="628">
        <v>1</v>
      </c>
      <c r="K417" s="140">
        <f t="shared" si="56"/>
        <v>7.48</v>
      </c>
      <c r="L417" s="140">
        <f t="shared" si="57"/>
        <v>0</v>
      </c>
      <c r="M417" s="140">
        <f t="shared" si="58"/>
        <v>0</v>
      </c>
      <c r="N417" s="140">
        <f t="shared" si="59"/>
        <v>7.48</v>
      </c>
      <c r="O417" s="140">
        <f t="shared" si="60"/>
        <v>0</v>
      </c>
      <c r="P417" s="140">
        <f t="shared" si="61"/>
        <v>0</v>
      </c>
      <c r="Q417" s="156">
        <f t="shared" si="64"/>
        <v>33.803468208092454</v>
      </c>
      <c r="R417" s="125">
        <v>4.51918024172359</v>
      </c>
      <c r="S417" s="73">
        <f t="shared" si="62"/>
        <v>33.803468208092454</v>
      </c>
      <c r="T417" t="s">
        <v>793</v>
      </c>
    </row>
    <row r="418" spans="1:20">
      <c r="A418" s="618" t="s">
        <v>748</v>
      </c>
      <c r="B418" s="618" t="s">
        <v>797</v>
      </c>
      <c r="C418" s="618" t="s">
        <v>875</v>
      </c>
      <c r="D418" s="631" t="s">
        <v>513</v>
      </c>
      <c r="E418" s="631" t="s">
        <v>799</v>
      </c>
      <c r="F418" s="628"/>
      <c r="G418" s="628"/>
      <c r="H418" s="628"/>
      <c r="I418" s="626">
        <v>0.21</v>
      </c>
      <c r="J418" s="628">
        <v>92</v>
      </c>
      <c r="K418" s="140">
        <f t="shared" si="56"/>
        <v>19.32</v>
      </c>
      <c r="L418" s="140">
        <f t="shared" si="57"/>
        <v>0</v>
      </c>
      <c r="M418" s="140">
        <f t="shared" si="58"/>
        <v>0</v>
      </c>
      <c r="N418" s="140">
        <f t="shared" si="59"/>
        <v>0</v>
      </c>
      <c r="O418" s="140">
        <f t="shared" si="60"/>
        <v>0</v>
      </c>
      <c r="P418" s="140">
        <f t="shared" si="61"/>
        <v>19.32</v>
      </c>
      <c r="Q418" s="156">
        <f t="shared" si="64"/>
        <v>0.67480294272201724</v>
      </c>
      <c r="R418" s="125">
        <v>3.2133473462953202</v>
      </c>
      <c r="S418" s="73">
        <f t="shared" si="62"/>
        <v>62.081870730425585</v>
      </c>
      <c r="T418" t="s">
        <v>800</v>
      </c>
    </row>
    <row r="419" spans="1:20">
      <c r="A419" s="618" t="s">
        <v>748</v>
      </c>
      <c r="B419" s="618" t="s">
        <v>790</v>
      </c>
      <c r="C419" s="618" t="s">
        <v>923</v>
      </c>
      <c r="D419" s="631" t="s">
        <v>497</v>
      </c>
      <c r="E419" s="631" t="s">
        <v>792</v>
      </c>
      <c r="F419" s="628">
        <v>0.17499999999999999</v>
      </c>
      <c r="G419" s="628">
        <v>0.25</v>
      </c>
      <c r="H419" s="628"/>
      <c r="I419" s="626">
        <f>8*0.0254*7850*3*0.0254/8</f>
        <v>15.193517999999999</v>
      </c>
      <c r="J419" s="628">
        <v>1</v>
      </c>
      <c r="K419" s="140">
        <f t="shared" si="56"/>
        <v>0.66471641249999991</v>
      </c>
      <c r="L419" s="140">
        <f t="shared" si="57"/>
        <v>0.66471641249999991</v>
      </c>
      <c r="M419" s="140">
        <f t="shared" si="58"/>
        <v>0</v>
      </c>
      <c r="N419" s="140">
        <f t="shared" si="59"/>
        <v>0</v>
      </c>
      <c r="O419" s="140">
        <f t="shared" si="60"/>
        <v>0</v>
      </c>
      <c r="P419" s="140">
        <f t="shared" si="61"/>
        <v>0</v>
      </c>
      <c r="Q419" s="156">
        <f t="shared" si="64"/>
        <v>31.003063253035361</v>
      </c>
      <c r="R419" s="125">
        <v>2.0405453992311302</v>
      </c>
      <c r="S419" s="73">
        <f t="shared" si="62"/>
        <v>1.356384017320297</v>
      </c>
      <c r="T419" t="s">
        <v>793</v>
      </c>
    </row>
    <row r="420" spans="1:20">
      <c r="A420" s="618" t="s">
        <v>748</v>
      </c>
      <c r="B420" s="618" t="s">
        <v>790</v>
      </c>
      <c r="C420" s="618" t="s">
        <v>923</v>
      </c>
      <c r="D420" s="631" t="s">
        <v>497</v>
      </c>
      <c r="E420" s="631" t="s">
        <v>792</v>
      </c>
      <c r="F420" s="628">
        <v>0.25</v>
      </c>
      <c r="G420" s="628">
        <v>0.188</v>
      </c>
      <c r="H420" s="628"/>
      <c r="I420" s="626">
        <f>8*0.0254*7850*3*0.0254/8</f>
        <v>15.193517999999999</v>
      </c>
      <c r="J420" s="628">
        <v>1</v>
      </c>
      <c r="K420" s="140">
        <f t="shared" si="56"/>
        <v>0.71409534599999991</v>
      </c>
      <c r="L420" s="140">
        <f t="shared" si="57"/>
        <v>0.71409534599999991</v>
      </c>
      <c r="M420" s="140">
        <f t="shared" si="58"/>
        <v>0</v>
      </c>
      <c r="N420" s="140">
        <f t="shared" si="59"/>
        <v>0</v>
      </c>
      <c r="O420" s="140">
        <f t="shared" si="60"/>
        <v>0</v>
      </c>
      <c r="P420" s="140">
        <f t="shared" si="61"/>
        <v>0</v>
      </c>
      <c r="Q420" s="156">
        <f t="shared" si="64"/>
        <v>31.003063253035361</v>
      </c>
      <c r="R420" s="125">
        <v>2.0405453992311302</v>
      </c>
      <c r="S420" s="73">
        <f t="shared" si="62"/>
        <v>1.4571439728926618</v>
      </c>
      <c r="T420" t="s">
        <v>793</v>
      </c>
    </row>
    <row r="421" spans="1:20">
      <c r="A421" s="618" t="s">
        <v>748</v>
      </c>
      <c r="B421" s="618" t="s">
        <v>790</v>
      </c>
      <c r="C421" s="618" t="s">
        <v>909</v>
      </c>
      <c r="D421" s="631" t="s">
        <v>497</v>
      </c>
      <c r="E421" s="631" t="s">
        <v>792</v>
      </c>
      <c r="F421" s="628">
        <v>1.1479999999999999</v>
      </c>
      <c r="G421" s="628">
        <v>1.1479999999999999</v>
      </c>
      <c r="H421" s="628"/>
      <c r="I421" s="626">
        <f>8*0.0254*7850*3*0.0254/8</f>
        <v>15.193517999999999</v>
      </c>
      <c r="J421" s="628">
        <v>1</v>
      </c>
      <c r="K421" s="140">
        <f t="shared" si="56"/>
        <v>20.023598146271993</v>
      </c>
      <c r="L421" s="140">
        <f t="shared" si="57"/>
        <v>20.023598146271993</v>
      </c>
      <c r="M421" s="140">
        <f t="shared" si="58"/>
        <v>0</v>
      </c>
      <c r="N421" s="140">
        <f t="shared" si="59"/>
        <v>0</v>
      </c>
      <c r="O421" s="140">
        <f t="shared" si="60"/>
        <v>0</v>
      </c>
      <c r="P421" s="140">
        <f t="shared" si="61"/>
        <v>0</v>
      </c>
      <c r="Q421" s="156">
        <f t="shared" si="64"/>
        <v>31.003063253035361</v>
      </c>
      <c r="R421" s="125">
        <v>2.0405453992311302</v>
      </c>
      <c r="S421" s="73">
        <f t="shared" si="62"/>
        <v>40.8590610734283</v>
      </c>
      <c r="T421" t="s">
        <v>793</v>
      </c>
    </row>
    <row r="422" spans="1:20">
      <c r="A422" s="618" t="s">
        <v>748</v>
      </c>
      <c r="B422" s="618" t="s">
        <v>790</v>
      </c>
      <c r="C422" s="618" t="s">
        <v>791</v>
      </c>
      <c r="D422" s="631" t="s">
        <v>497</v>
      </c>
      <c r="E422" s="631" t="s">
        <v>792</v>
      </c>
      <c r="F422" s="627">
        <v>0.08</v>
      </c>
      <c r="G422" s="627">
        <v>0.17499999999999999</v>
      </c>
      <c r="H422" s="627"/>
      <c r="I422" s="626">
        <f>8*0.0254*7850*3*0.0254/8</f>
        <v>15.193517999999999</v>
      </c>
      <c r="J422" s="627">
        <v>1</v>
      </c>
      <c r="K422" s="140">
        <f t="shared" si="56"/>
        <v>0.21270925199999996</v>
      </c>
      <c r="L422" s="140">
        <f t="shared" si="57"/>
        <v>0.21270925199999996</v>
      </c>
      <c r="M422" s="140">
        <f t="shared" si="58"/>
        <v>0</v>
      </c>
      <c r="N422" s="140">
        <f t="shared" si="59"/>
        <v>0</v>
      </c>
      <c r="O422" s="140">
        <f t="shared" si="60"/>
        <v>0</v>
      </c>
      <c r="P422" s="140">
        <f t="shared" si="61"/>
        <v>0</v>
      </c>
      <c r="Q422" s="156">
        <f t="shared" si="64"/>
        <v>31.003063253035361</v>
      </c>
      <c r="R422" s="125">
        <v>2.0405453992311302</v>
      </c>
      <c r="S422" s="73">
        <f t="shared" si="62"/>
        <v>0.43404288554249498</v>
      </c>
      <c r="T422" t="s">
        <v>793</v>
      </c>
    </row>
    <row r="423" spans="1:20">
      <c r="A423" s="618" t="s">
        <v>748</v>
      </c>
      <c r="B423" s="618" t="s">
        <v>797</v>
      </c>
      <c r="C423" s="618" t="s">
        <v>924</v>
      </c>
      <c r="D423" s="631" t="s">
        <v>513</v>
      </c>
      <c r="E423" s="631" t="s">
        <v>799</v>
      </c>
      <c r="F423" s="628"/>
      <c r="G423" s="628"/>
      <c r="H423" s="628"/>
      <c r="I423" s="626">
        <v>0.86</v>
      </c>
      <c r="J423" s="628">
        <v>46</v>
      </c>
      <c r="K423" s="140">
        <f t="shared" si="56"/>
        <v>39.56</v>
      </c>
      <c r="L423" s="140">
        <f t="shared" si="57"/>
        <v>0</v>
      </c>
      <c r="M423" s="140">
        <f t="shared" si="58"/>
        <v>0</v>
      </c>
      <c r="N423" s="140">
        <f t="shared" si="59"/>
        <v>0</v>
      </c>
      <c r="O423" s="140">
        <f t="shared" si="60"/>
        <v>0</v>
      </c>
      <c r="P423" s="140">
        <f t="shared" si="61"/>
        <v>39.56</v>
      </c>
      <c r="Q423" s="156">
        <f t="shared" si="64"/>
        <v>2.7634787178139755</v>
      </c>
      <c r="R423" s="125">
        <v>3.2133473462953202</v>
      </c>
      <c r="S423" s="73">
        <f t="shared" si="62"/>
        <v>127.12002101944287</v>
      </c>
      <c r="T423" t="s">
        <v>800</v>
      </c>
    </row>
    <row r="424" spans="1:20">
      <c r="A424" s="618" t="s">
        <v>748</v>
      </c>
      <c r="B424" s="618" t="s">
        <v>790</v>
      </c>
      <c r="C424" s="618" t="s">
        <v>925</v>
      </c>
      <c r="D424" s="631" t="s">
        <v>497</v>
      </c>
      <c r="E424" s="631" t="s">
        <v>792</v>
      </c>
      <c r="F424" s="628">
        <v>0.95399999999999996</v>
      </c>
      <c r="G424" s="628">
        <v>3.6230000000000002</v>
      </c>
      <c r="H424" s="628"/>
      <c r="I424" s="626">
        <f t="shared" ref="I424:I429" si="65">8*0.0254*7850*3*0.0254/8</f>
        <v>15.193517999999999</v>
      </c>
      <c r="J424" s="628">
        <v>1</v>
      </c>
      <c r="K424" s="140">
        <f t="shared" si="56"/>
        <v>52.513994391156004</v>
      </c>
      <c r="L424" s="140">
        <f t="shared" si="57"/>
        <v>52.513994391156004</v>
      </c>
      <c r="M424" s="140">
        <f t="shared" si="58"/>
        <v>0</v>
      </c>
      <c r="N424" s="140">
        <f t="shared" si="59"/>
        <v>0</v>
      </c>
      <c r="O424" s="140">
        <f t="shared" si="60"/>
        <v>0</v>
      </c>
      <c r="P424" s="140">
        <f t="shared" si="61"/>
        <v>0</v>
      </c>
      <c r="Q424" s="156">
        <f t="shared" si="64"/>
        <v>31.003063253035361</v>
      </c>
      <c r="R424" s="125">
        <v>2.0405453992311302</v>
      </c>
      <c r="S424" s="73">
        <f t="shared" si="62"/>
        <v>107.15718965012276</v>
      </c>
      <c r="T424" t="s">
        <v>793</v>
      </c>
    </row>
    <row r="425" spans="1:20">
      <c r="A425" s="618" t="s">
        <v>748</v>
      </c>
      <c r="B425" s="618" t="s">
        <v>790</v>
      </c>
      <c r="C425" s="618" t="s">
        <v>926</v>
      </c>
      <c r="D425" s="631" t="s">
        <v>497</v>
      </c>
      <c r="E425" s="631" t="s">
        <v>792</v>
      </c>
      <c r="F425" s="628">
        <v>1.4490000000000001</v>
      </c>
      <c r="G425" s="628">
        <v>1.1479999999999999</v>
      </c>
      <c r="H425" s="628"/>
      <c r="I425" s="626">
        <f t="shared" si="65"/>
        <v>15.193517999999999</v>
      </c>
      <c r="J425" s="628">
        <v>1</v>
      </c>
      <c r="K425" s="140">
        <f t="shared" si="56"/>
        <v>25.273687904135997</v>
      </c>
      <c r="L425" s="140">
        <f t="shared" si="57"/>
        <v>25.273687904135997</v>
      </c>
      <c r="M425" s="140">
        <f t="shared" si="58"/>
        <v>0</v>
      </c>
      <c r="N425" s="140">
        <f t="shared" si="59"/>
        <v>0</v>
      </c>
      <c r="O425" s="140">
        <f t="shared" si="60"/>
        <v>0</v>
      </c>
      <c r="P425" s="140">
        <f t="shared" si="61"/>
        <v>0</v>
      </c>
      <c r="Q425" s="156">
        <f t="shared" si="64"/>
        <v>31.003063253035361</v>
      </c>
      <c r="R425" s="125">
        <v>2.0405453992311302</v>
      </c>
      <c r="S425" s="73">
        <f t="shared" si="62"/>
        <v>51.572107574388177</v>
      </c>
      <c r="T425" t="s">
        <v>793</v>
      </c>
    </row>
    <row r="426" spans="1:20">
      <c r="A426" s="618" t="s">
        <v>748</v>
      </c>
      <c r="B426" s="618" t="s">
        <v>790</v>
      </c>
      <c r="C426" s="618" t="s">
        <v>926</v>
      </c>
      <c r="D426" s="631" t="s">
        <v>497</v>
      </c>
      <c r="E426" s="631" t="s">
        <v>792</v>
      </c>
      <c r="F426" s="628">
        <v>1.4490000000000001</v>
      </c>
      <c r="G426" s="628">
        <v>1.1479999999999999</v>
      </c>
      <c r="H426" s="628"/>
      <c r="I426" s="626">
        <f t="shared" si="65"/>
        <v>15.193517999999999</v>
      </c>
      <c r="J426" s="628">
        <v>1</v>
      </c>
      <c r="K426" s="140">
        <f t="shared" si="56"/>
        <v>25.273687904135997</v>
      </c>
      <c r="L426" s="140">
        <f t="shared" si="57"/>
        <v>25.273687904135997</v>
      </c>
      <c r="M426" s="140">
        <f t="shared" si="58"/>
        <v>0</v>
      </c>
      <c r="N426" s="140">
        <f t="shared" si="59"/>
        <v>0</v>
      </c>
      <c r="O426" s="140">
        <f t="shared" si="60"/>
        <v>0</v>
      </c>
      <c r="P426" s="140">
        <f t="shared" si="61"/>
        <v>0</v>
      </c>
      <c r="Q426" s="156">
        <f t="shared" si="64"/>
        <v>31.003063253035361</v>
      </c>
      <c r="R426" s="125">
        <v>2.0405453992311302</v>
      </c>
      <c r="S426" s="73">
        <f t="shared" si="62"/>
        <v>51.572107574388177</v>
      </c>
      <c r="T426" t="s">
        <v>793</v>
      </c>
    </row>
    <row r="427" spans="1:20">
      <c r="A427" s="618" t="s">
        <v>748</v>
      </c>
      <c r="B427" s="618" t="s">
        <v>790</v>
      </c>
      <c r="C427" s="618" t="s">
        <v>923</v>
      </c>
      <c r="D427" s="631" t="s">
        <v>497</v>
      </c>
      <c r="E427" s="631" t="s">
        <v>792</v>
      </c>
      <c r="F427" s="628">
        <v>2.5550000000000002</v>
      </c>
      <c r="G427" s="628">
        <v>0.20399999999999999</v>
      </c>
      <c r="H427" s="628"/>
      <c r="I427" s="626">
        <f t="shared" si="65"/>
        <v>15.193517999999999</v>
      </c>
      <c r="J427" s="628">
        <v>1</v>
      </c>
      <c r="K427" s="140">
        <f t="shared" si="56"/>
        <v>7.9191654519599997</v>
      </c>
      <c r="L427" s="140">
        <f t="shared" si="57"/>
        <v>7.9191654519599997</v>
      </c>
      <c r="M427" s="140">
        <f t="shared" si="58"/>
        <v>0</v>
      </c>
      <c r="N427" s="140">
        <f t="shared" si="59"/>
        <v>0</v>
      </c>
      <c r="O427" s="140">
        <f t="shared" si="60"/>
        <v>0</v>
      </c>
      <c r="P427" s="140">
        <f t="shared" si="61"/>
        <v>0</v>
      </c>
      <c r="Q427" s="156">
        <f t="shared" si="64"/>
        <v>31.003063253035361</v>
      </c>
      <c r="R427" s="125">
        <v>2.0405453992311302</v>
      </c>
      <c r="S427" s="73">
        <f t="shared" si="62"/>
        <v>16.159416628747092</v>
      </c>
      <c r="T427" t="s">
        <v>793</v>
      </c>
    </row>
    <row r="428" spans="1:20">
      <c r="A428" s="618" t="s">
        <v>748</v>
      </c>
      <c r="B428" s="618" t="s">
        <v>790</v>
      </c>
      <c r="C428" s="618" t="s">
        <v>923</v>
      </c>
      <c r="D428" s="631" t="s">
        <v>497</v>
      </c>
      <c r="E428" s="631" t="s">
        <v>792</v>
      </c>
      <c r="F428" s="628">
        <v>1.3720000000000001</v>
      </c>
      <c r="G428" s="628">
        <v>2.7</v>
      </c>
      <c r="H428" s="628"/>
      <c r="I428" s="626">
        <f t="shared" si="65"/>
        <v>15.193517999999999</v>
      </c>
      <c r="J428" s="628">
        <v>1</v>
      </c>
      <c r="K428" s="140">
        <f t="shared" si="56"/>
        <v>56.282868079200007</v>
      </c>
      <c r="L428" s="140">
        <f t="shared" si="57"/>
        <v>56.282868079200007</v>
      </c>
      <c r="M428" s="140">
        <f t="shared" si="58"/>
        <v>0</v>
      </c>
      <c r="N428" s="140">
        <f t="shared" si="59"/>
        <v>0</v>
      </c>
      <c r="O428" s="140">
        <f t="shared" si="60"/>
        <v>0</v>
      </c>
      <c r="P428" s="140">
        <f t="shared" si="61"/>
        <v>0</v>
      </c>
      <c r="Q428" s="156">
        <f t="shared" si="64"/>
        <v>31.003063253035361</v>
      </c>
      <c r="R428" s="125">
        <v>2.0405453992311302</v>
      </c>
      <c r="S428" s="73">
        <f t="shared" si="62"/>
        <v>114.84774751454421</v>
      </c>
      <c r="T428" t="s">
        <v>793</v>
      </c>
    </row>
    <row r="429" spans="1:20">
      <c r="A429" s="618" t="s">
        <v>748</v>
      </c>
      <c r="B429" s="618" t="s">
        <v>790</v>
      </c>
      <c r="C429" s="618" t="s">
        <v>923</v>
      </c>
      <c r="D429" s="631" t="s">
        <v>497</v>
      </c>
      <c r="E429" s="631" t="s">
        <v>792</v>
      </c>
      <c r="F429" s="628">
        <v>3.31</v>
      </c>
      <c r="G429" s="628">
        <v>2.4380000000000002</v>
      </c>
      <c r="H429" s="628"/>
      <c r="I429" s="626">
        <f t="shared" si="65"/>
        <v>15.193517999999999</v>
      </c>
      <c r="J429" s="628">
        <v>1</v>
      </c>
      <c r="K429" s="140">
        <f t="shared" si="56"/>
        <v>122.60834768604002</v>
      </c>
      <c r="L429" s="140">
        <f t="shared" si="57"/>
        <v>122.60834768604002</v>
      </c>
      <c r="M429" s="140">
        <f t="shared" si="58"/>
        <v>0</v>
      </c>
      <c r="N429" s="140">
        <f t="shared" si="59"/>
        <v>0</v>
      </c>
      <c r="O429" s="140">
        <f t="shared" si="60"/>
        <v>0</v>
      </c>
      <c r="P429" s="140">
        <f t="shared" si="61"/>
        <v>0</v>
      </c>
      <c r="Q429" s="156">
        <f t="shared" si="64"/>
        <v>31.003063253035361</v>
      </c>
      <c r="R429" s="125">
        <v>2.0405453992311302</v>
      </c>
      <c r="S429" s="73">
        <f t="shared" si="62"/>
        <v>250.18789977807975</v>
      </c>
      <c r="T429" t="s">
        <v>793</v>
      </c>
    </row>
    <row r="430" spans="1:20">
      <c r="A430" s="618" t="s">
        <v>748</v>
      </c>
      <c r="B430" s="618" t="s">
        <v>797</v>
      </c>
      <c r="C430" s="618" t="s">
        <v>927</v>
      </c>
      <c r="D430" s="631" t="s">
        <v>513</v>
      </c>
      <c r="E430" s="631" t="s">
        <v>799</v>
      </c>
      <c r="F430" s="628"/>
      <c r="G430" s="628">
        <v>1</v>
      </c>
      <c r="H430" s="628"/>
      <c r="I430" s="626">
        <v>0.1</v>
      </c>
      <c r="J430" s="628">
        <v>1</v>
      </c>
      <c r="K430" s="140">
        <f t="shared" si="56"/>
        <v>0.1</v>
      </c>
      <c r="L430" s="140">
        <f t="shared" si="57"/>
        <v>0</v>
      </c>
      <c r="M430" s="140">
        <f t="shared" si="58"/>
        <v>0</v>
      </c>
      <c r="N430" s="140">
        <f t="shared" si="59"/>
        <v>0</v>
      </c>
      <c r="O430" s="140">
        <f t="shared" si="60"/>
        <v>0</v>
      </c>
      <c r="P430" s="140">
        <f t="shared" si="61"/>
        <v>0.1</v>
      </c>
      <c r="Q430" s="156">
        <f t="shared" si="64"/>
        <v>0.32133473462953205</v>
      </c>
      <c r="R430" s="125">
        <v>3.2133473462953202</v>
      </c>
      <c r="S430" s="73">
        <f t="shared" si="62"/>
        <v>0.32133473462953205</v>
      </c>
      <c r="T430" t="s">
        <v>800</v>
      </c>
    </row>
    <row r="431" spans="1:20">
      <c r="A431" s="618" t="s">
        <v>748</v>
      </c>
      <c r="B431" s="618" t="s">
        <v>797</v>
      </c>
      <c r="C431" s="618" t="s">
        <v>843</v>
      </c>
      <c r="D431" s="631" t="s">
        <v>513</v>
      </c>
      <c r="E431" s="631" t="s">
        <v>799</v>
      </c>
      <c r="F431" s="628"/>
      <c r="G431" s="628"/>
      <c r="H431" s="628"/>
      <c r="I431" s="626">
        <v>0.1</v>
      </c>
      <c r="J431" s="628">
        <v>2</v>
      </c>
      <c r="K431" s="140">
        <f t="shared" si="56"/>
        <v>0.2</v>
      </c>
      <c r="L431" s="140">
        <f t="shared" si="57"/>
        <v>0</v>
      </c>
      <c r="M431" s="140">
        <f t="shared" si="58"/>
        <v>0</v>
      </c>
      <c r="N431" s="140">
        <f t="shared" si="59"/>
        <v>0</v>
      </c>
      <c r="O431" s="140">
        <f t="shared" si="60"/>
        <v>0</v>
      </c>
      <c r="P431" s="140">
        <f t="shared" si="61"/>
        <v>0.2</v>
      </c>
      <c r="Q431" s="156">
        <f t="shared" si="64"/>
        <v>0.32133473462953205</v>
      </c>
      <c r="R431" s="125">
        <v>3.2133473462953202</v>
      </c>
      <c r="S431" s="73">
        <f t="shared" si="62"/>
        <v>0.6426694692590641</v>
      </c>
      <c r="T431" t="s">
        <v>800</v>
      </c>
    </row>
    <row r="432" spans="1:20">
      <c r="A432" s="618" t="s">
        <v>748</v>
      </c>
      <c r="B432" s="618" t="s">
        <v>797</v>
      </c>
      <c r="C432" s="618" t="s">
        <v>873</v>
      </c>
      <c r="D432" s="631" t="s">
        <v>515</v>
      </c>
      <c r="E432" s="631" t="s">
        <v>792</v>
      </c>
      <c r="F432" s="628"/>
      <c r="G432" s="628">
        <v>0.45</v>
      </c>
      <c r="H432" s="628"/>
      <c r="I432" s="626">
        <v>2.2349999999999999</v>
      </c>
      <c r="J432" s="628">
        <v>1</v>
      </c>
      <c r="K432" s="140">
        <f t="shared" si="56"/>
        <v>1.0057499999999999</v>
      </c>
      <c r="L432" s="140">
        <f t="shared" si="57"/>
        <v>0</v>
      </c>
      <c r="M432" s="140">
        <f t="shared" si="58"/>
        <v>0</v>
      </c>
      <c r="N432" s="140">
        <f t="shared" si="59"/>
        <v>0</v>
      </c>
      <c r="O432" s="140">
        <f t="shared" si="60"/>
        <v>0</v>
      </c>
      <c r="P432" s="140">
        <f t="shared" si="61"/>
        <v>1.0057499999999999</v>
      </c>
      <c r="Q432" s="156">
        <f t="shared" si="64"/>
        <v>7.1818313189700405</v>
      </c>
      <c r="R432" s="125">
        <v>3.2133473462953202</v>
      </c>
      <c r="S432" s="73">
        <f t="shared" si="62"/>
        <v>3.2318240935365181</v>
      </c>
      <c r="T432" t="s">
        <v>800</v>
      </c>
    </row>
    <row r="433" spans="1:20">
      <c r="A433" s="618" t="s">
        <v>748</v>
      </c>
      <c r="B433" s="618" t="s">
        <v>790</v>
      </c>
      <c r="C433" s="618" t="s">
        <v>928</v>
      </c>
      <c r="D433" s="631" t="s">
        <v>497</v>
      </c>
      <c r="E433" s="631" t="s">
        <v>792</v>
      </c>
      <c r="F433" s="627">
        <v>0.156</v>
      </c>
      <c r="G433" s="627">
        <v>0.755</v>
      </c>
      <c r="H433" s="627"/>
      <c r="I433" s="626">
        <f>8*0.0254*7850*3*0.0254/8</f>
        <v>15.193517999999999</v>
      </c>
      <c r="J433" s="627">
        <v>1</v>
      </c>
      <c r="K433" s="140">
        <f t="shared" si="56"/>
        <v>1.7894925500399999</v>
      </c>
      <c r="L433" s="140">
        <f t="shared" si="57"/>
        <v>1.7894925500399999</v>
      </c>
      <c r="M433" s="140">
        <f t="shared" si="58"/>
        <v>0</v>
      </c>
      <c r="N433" s="140">
        <f t="shared" si="59"/>
        <v>0</v>
      </c>
      <c r="O433" s="140">
        <f t="shared" si="60"/>
        <v>0</v>
      </c>
      <c r="P433" s="140">
        <f t="shared" si="61"/>
        <v>0</v>
      </c>
      <c r="Q433" s="156">
        <f t="shared" si="64"/>
        <v>31.003063253035361</v>
      </c>
      <c r="R433" s="125">
        <v>2.0405453992311302</v>
      </c>
      <c r="S433" s="73">
        <f t="shared" si="62"/>
        <v>3.6515407899425045</v>
      </c>
      <c r="T433" t="s">
        <v>793</v>
      </c>
    </row>
    <row r="434" spans="1:20">
      <c r="A434" s="618" t="s">
        <v>748</v>
      </c>
      <c r="B434" s="618" t="s">
        <v>815</v>
      </c>
      <c r="C434" s="618" t="s">
        <v>929</v>
      </c>
      <c r="D434" s="631" t="s">
        <v>515</v>
      </c>
      <c r="E434" s="631" t="s">
        <v>817</v>
      </c>
      <c r="F434" s="628"/>
      <c r="G434" s="628">
        <v>1.86</v>
      </c>
      <c r="H434" s="628"/>
      <c r="I434" s="626">
        <v>8.74</v>
      </c>
      <c r="J434" s="628">
        <v>1</v>
      </c>
      <c r="K434" s="140">
        <f t="shared" si="56"/>
        <v>16.256400000000003</v>
      </c>
      <c r="L434" s="140">
        <f t="shared" si="57"/>
        <v>0</v>
      </c>
      <c r="M434" s="140">
        <f t="shared" si="58"/>
        <v>16.256400000000003</v>
      </c>
      <c r="N434" s="140">
        <f t="shared" si="59"/>
        <v>0</v>
      </c>
      <c r="O434" s="140">
        <f t="shared" si="60"/>
        <v>0</v>
      </c>
      <c r="P434" s="140">
        <f t="shared" si="61"/>
        <v>0</v>
      </c>
      <c r="Q434" s="156">
        <f t="shared" si="64"/>
        <v>34.000115606936376</v>
      </c>
      <c r="R434" s="125">
        <v>3.8901734104046199</v>
      </c>
      <c r="S434" s="73">
        <f t="shared" si="62"/>
        <v>63.240215028901673</v>
      </c>
      <c r="T434" t="s">
        <v>793</v>
      </c>
    </row>
    <row r="435" spans="1:20">
      <c r="A435" s="618" t="s">
        <v>748</v>
      </c>
      <c r="B435" s="618" t="s">
        <v>790</v>
      </c>
      <c r="C435" s="618" t="s">
        <v>857</v>
      </c>
      <c r="D435" s="631" t="s">
        <v>497</v>
      </c>
      <c r="E435" s="631" t="s">
        <v>792</v>
      </c>
      <c r="F435" s="628"/>
      <c r="G435" s="628"/>
      <c r="H435" s="628">
        <f>0.075*0.075*3.1416/4</f>
        <v>4.4178749999999999E-3</v>
      </c>
      <c r="I435" s="626">
        <f>8*0.0254*7850*3*0.0254/8</f>
        <v>15.193517999999999</v>
      </c>
      <c r="J435" s="628">
        <v>1</v>
      </c>
      <c r="K435" s="140">
        <f t="shared" si="56"/>
        <v>6.7123063334249999E-2</v>
      </c>
      <c r="L435" s="140">
        <f t="shared" si="57"/>
        <v>6.7123063334249999E-2</v>
      </c>
      <c r="M435" s="140">
        <f t="shared" si="58"/>
        <v>0</v>
      </c>
      <c r="N435" s="140">
        <f t="shared" si="59"/>
        <v>0</v>
      </c>
      <c r="O435" s="140">
        <f t="shared" si="60"/>
        <v>0</v>
      </c>
      <c r="P435" s="140">
        <f t="shared" si="61"/>
        <v>0</v>
      </c>
      <c r="Q435" s="156">
        <f t="shared" si="64"/>
        <v>31.003063253035361</v>
      </c>
      <c r="R435" s="125">
        <v>2.0405453992311302</v>
      </c>
      <c r="S435" s="73">
        <f t="shared" si="62"/>
        <v>0.1369676580690036</v>
      </c>
      <c r="T435" t="s">
        <v>793</v>
      </c>
    </row>
    <row r="436" spans="1:20">
      <c r="A436" s="618" t="s">
        <v>748</v>
      </c>
      <c r="B436" s="618" t="s">
        <v>815</v>
      </c>
      <c r="C436" s="618" t="s">
        <v>930</v>
      </c>
      <c r="D436" s="631" t="s">
        <v>515</v>
      </c>
      <c r="E436" s="631" t="s">
        <v>817</v>
      </c>
      <c r="F436" s="628"/>
      <c r="G436" s="628">
        <v>0.502</v>
      </c>
      <c r="H436" s="628"/>
      <c r="I436" s="626">
        <v>8.6300000000000008</v>
      </c>
      <c r="J436" s="628">
        <v>1</v>
      </c>
      <c r="K436" s="140">
        <f t="shared" si="56"/>
        <v>4.3322600000000007</v>
      </c>
      <c r="L436" s="140">
        <f t="shared" si="57"/>
        <v>0</v>
      </c>
      <c r="M436" s="140">
        <f t="shared" si="58"/>
        <v>4.3322600000000007</v>
      </c>
      <c r="N436" s="140">
        <f t="shared" si="59"/>
        <v>0</v>
      </c>
      <c r="O436" s="140">
        <f t="shared" si="60"/>
        <v>0</v>
      </c>
      <c r="P436" s="140">
        <f t="shared" si="61"/>
        <v>0</v>
      </c>
      <c r="Q436" s="156">
        <f t="shared" si="64"/>
        <v>25.787963741460835</v>
      </c>
      <c r="R436" s="125">
        <v>2.98817656332107</v>
      </c>
      <c r="S436" s="73">
        <f t="shared" si="62"/>
        <v>12.94555779821334</v>
      </c>
      <c r="T436" t="s">
        <v>793</v>
      </c>
    </row>
    <row r="437" spans="1:20">
      <c r="A437" s="618" t="s">
        <v>748</v>
      </c>
      <c r="B437" s="618" t="s">
        <v>790</v>
      </c>
      <c r="C437" s="618" t="s">
        <v>923</v>
      </c>
      <c r="D437" s="631" t="s">
        <v>497</v>
      </c>
      <c r="E437" s="631" t="s">
        <v>792</v>
      </c>
      <c r="F437" s="628">
        <v>0.20799999999999999</v>
      </c>
      <c r="G437" s="628">
        <v>0.45200000000000001</v>
      </c>
      <c r="H437" s="628"/>
      <c r="I437" s="626">
        <f>8*0.0254*7850*3*0.0254/8</f>
        <v>15.193517999999999</v>
      </c>
      <c r="J437" s="628">
        <v>1</v>
      </c>
      <c r="K437" s="140">
        <f t="shared" si="56"/>
        <v>1.4284337882880001</v>
      </c>
      <c r="L437" s="140">
        <f t="shared" si="57"/>
        <v>1.4284337882880001</v>
      </c>
      <c r="M437" s="140">
        <f t="shared" si="58"/>
        <v>0</v>
      </c>
      <c r="N437" s="140">
        <f t="shared" si="59"/>
        <v>0</v>
      </c>
      <c r="O437" s="140">
        <f t="shared" si="60"/>
        <v>0</v>
      </c>
      <c r="P437" s="140">
        <f t="shared" si="61"/>
        <v>0</v>
      </c>
      <c r="Q437" s="156">
        <f t="shared" si="64"/>
        <v>31.003063253035361</v>
      </c>
      <c r="R437" s="125">
        <v>2.0405453992311302</v>
      </c>
      <c r="S437" s="73">
        <f t="shared" si="62"/>
        <v>2.9147839947973728</v>
      </c>
      <c r="T437" t="s">
        <v>793</v>
      </c>
    </row>
    <row r="438" spans="1:20">
      <c r="A438" s="618" t="s">
        <v>749</v>
      </c>
      <c r="B438" s="618" t="s">
        <v>790</v>
      </c>
      <c r="C438" s="618" t="s">
        <v>901</v>
      </c>
      <c r="D438" s="631" t="s">
        <v>497</v>
      </c>
      <c r="E438" s="631" t="s">
        <v>792</v>
      </c>
      <c r="F438" s="628">
        <v>0.191</v>
      </c>
      <c r="G438" s="628">
        <v>7.0000000000000007E-2</v>
      </c>
      <c r="H438" s="628"/>
      <c r="I438" s="626">
        <f>8*0.0254*7850*3*0.0254/8</f>
        <v>15.193517999999999</v>
      </c>
      <c r="J438" s="628">
        <v>3</v>
      </c>
      <c r="K438" s="140">
        <f t="shared" si="56"/>
        <v>0.60941200697999998</v>
      </c>
      <c r="L438" s="140">
        <f t="shared" si="57"/>
        <v>0.60941200697999998</v>
      </c>
      <c r="M438" s="140">
        <f t="shared" si="58"/>
        <v>0</v>
      </c>
      <c r="N438" s="140">
        <f t="shared" si="59"/>
        <v>0</v>
      </c>
      <c r="O438" s="140">
        <f t="shared" si="60"/>
        <v>0</v>
      </c>
      <c r="P438" s="140">
        <f t="shared" si="61"/>
        <v>0</v>
      </c>
      <c r="Q438" s="156">
        <f t="shared" si="64"/>
        <v>31.003063253035361</v>
      </c>
      <c r="R438" s="125">
        <v>2.0405453992311302</v>
      </c>
      <c r="S438" s="73">
        <f t="shared" si="62"/>
        <v>1.2435328670792483</v>
      </c>
      <c r="T438" t="s">
        <v>793</v>
      </c>
    </row>
    <row r="439" spans="1:20">
      <c r="A439" s="618" t="s">
        <v>749</v>
      </c>
      <c r="B439" s="618" t="s">
        <v>815</v>
      </c>
      <c r="C439" s="618" t="s">
        <v>931</v>
      </c>
      <c r="D439" s="631" t="s">
        <v>515</v>
      </c>
      <c r="E439" s="631" t="s">
        <v>817</v>
      </c>
      <c r="F439" s="628"/>
      <c r="G439" s="628">
        <v>0.34399999999999997</v>
      </c>
      <c r="H439" s="628"/>
      <c r="I439" s="626">
        <v>22.32</v>
      </c>
      <c r="J439" s="628">
        <v>1</v>
      </c>
      <c r="K439" s="140">
        <f t="shared" si="56"/>
        <v>7.6780799999999996</v>
      </c>
      <c r="L439" s="140">
        <f t="shared" si="57"/>
        <v>0</v>
      </c>
      <c r="M439" s="140">
        <f t="shared" si="58"/>
        <v>7.6780799999999996</v>
      </c>
      <c r="N439" s="140">
        <f t="shared" si="59"/>
        <v>0</v>
      </c>
      <c r="O439" s="140">
        <f t="shared" si="60"/>
        <v>0</v>
      </c>
      <c r="P439" s="140">
        <f t="shared" si="61"/>
        <v>0</v>
      </c>
      <c r="Q439" s="156">
        <f t="shared" si="64"/>
        <v>66.696100893326289</v>
      </c>
      <c r="R439" s="125">
        <v>2.98817656332107</v>
      </c>
      <c r="S439" s="73">
        <f t="shared" si="62"/>
        <v>22.943458707304238</v>
      </c>
      <c r="T439" t="s">
        <v>793</v>
      </c>
    </row>
    <row r="440" spans="1:20">
      <c r="A440" s="618" t="s">
        <v>749</v>
      </c>
      <c r="B440" s="618" t="s">
        <v>790</v>
      </c>
      <c r="C440" s="618" t="s">
        <v>880</v>
      </c>
      <c r="D440" s="631" t="s">
        <v>515</v>
      </c>
      <c r="E440" s="633" t="s">
        <v>792</v>
      </c>
      <c r="F440" s="628"/>
      <c r="G440" s="628">
        <v>0.125</v>
      </c>
      <c r="H440" s="628"/>
      <c r="I440" s="626">
        <f>8*0.0254*7850*3*0.0254/8</f>
        <v>15.193517999999999</v>
      </c>
      <c r="J440" s="628">
        <v>1</v>
      </c>
      <c r="K440" s="140">
        <f t="shared" si="56"/>
        <v>1.8991897499999999</v>
      </c>
      <c r="L440" s="140">
        <f t="shared" si="57"/>
        <v>1.8991897499999999</v>
      </c>
      <c r="M440" s="140">
        <f t="shared" si="58"/>
        <v>0</v>
      </c>
      <c r="N440" s="140">
        <f t="shared" si="59"/>
        <v>0</v>
      </c>
      <c r="O440" s="140">
        <f t="shared" si="60"/>
        <v>0</v>
      </c>
      <c r="P440" s="140">
        <f t="shared" si="61"/>
        <v>0</v>
      </c>
      <c r="Q440" s="156">
        <f t="shared" si="64"/>
        <v>33.253285585916984</v>
      </c>
      <c r="R440" s="157">
        <v>2.1886495007882298</v>
      </c>
      <c r="S440" s="73">
        <f t="shared" si="62"/>
        <v>4.156660698239623</v>
      </c>
      <c r="T440" t="s">
        <v>793</v>
      </c>
    </row>
    <row r="441" spans="1:20">
      <c r="A441" s="618" t="s">
        <v>749</v>
      </c>
      <c r="B441" s="618" t="s">
        <v>790</v>
      </c>
      <c r="C441" s="618" t="s">
        <v>880</v>
      </c>
      <c r="D441" s="631" t="s">
        <v>515</v>
      </c>
      <c r="E441" s="633" t="s">
        <v>792</v>
      </c>
      <c r="F441" s="628"/>
      <c r="G441" s="628">
        <v>0.24</v>
      </c>
      <c r="H441" s="628"/>
      <c r="I441" s="626">
        <f>8*0.0254*7850*3*0.0254/8</f>
        <v>15.193517999999999</v>
      </c>
      <c r="J441" s="628">
        <v>2</v>
      </c>
      <c r="K441" s="140">
        <f t="shared" si="56"/>
        <v>7.2928886399999993</v>
      </c>
      <c r="L441" s="140">
        <f t="shared" si="57"/>
        <v>7.2928886399999993</v>
      </c>
      <c r="M441" s="140">
        <f t="shared" si="58"/>
        <v>0</v>
      </c>
      <c r="N441" s="140">
        <f t="shared" si="59"/>
        <v>0</v>
      </c>
      <c r="O441" s="140">
        <f t="shared" si="60"/>
        <v>0</v>
      </c>
      <c r="P441" s="140">
        <f t="shared" si="61"/>
        <v>0</v>
      </c>
      <c r="Q441" s="156">
        <f t="shared" si="64"/>
        <v>33.253285585916984</v>
      </c>
      <c r="R441" s="157">
        <v>2.1886495007882298</v>
      </c>
      <c r="S441" s="73">
        <f t="shared" si="62"/>
        <v>15.961577081240151</v>
      </c>
      <c r="T441" t="s">
        <v>793</v>
      </c>
    </row>
    <row r="442" spans="1:20">
      <c r="A442" s="618" t="s">
        <v>749</v>
      </c>
      <c r="B442" s="618" t="s">
        <v>790</v>
      </c>
      <c r="C442" s="618" t="s">
        <v>791</v>
      </c>
      <c r="D442" s="631" t="s">
        <v>497</v>
      </c>
      <c r="E442" s="631" t="s">
        <v>792</v>
      </c>
      <c r="F442" s="627">
        <v>0.251</v>
      </c>
      <c r="G442" s="627">
        <v>0.125</v>
      </c>
      <c r="H442" s="627"/>
      <c r="I442" s="626">
        <f>8*0.0254*7850*3*0.0254/8</f>
        <v>15.193517999999999</v>
      </c>
      <c r="J442" s="627">
        <v>1</v>
      </c>
      <c r="K442" s="140">
        <f t="shared" si="56"/>
        <v>0.47669662724999995</v>
      </c>
      <c r="L442" s="140">
        <f t="shared" si="57"/>
        <v>0.47669662724999995</v>
      </c>
      <c r="M442" s="140">
        <f t="shared" si="58"/>
        <v>0</v>
      </c>
      <c r="N442" s="140">
        <f t="shared" si="59"/>
        <v>0</v>
      </c>
      <c r="O442" s="140">
        <f t="shared" si="60"/>
        <v>0</v>
      </c>
      <c r="P442" s="140">
        <f t="shared" si="61"/>
        <v>0</v>
      </c>
      <c r="Q442" s="156">
        <f t="shared" si="64"/>
        <v>31.003063253035361</v>
      </c>
      <c r="R442" s="125">
        <v>2.0405453992311302</v>
      </c>
      <c r="S442" s="73">
        <f t="shared" si="62"/>
        <v>0.97272110956398439</v>
      </c>
      <c r="T442" t="s">
        <v>793</v>
      </c>
    </row>
    <row r="443" spans="1:20">
      <c r="A443" s="618" t="s">
        <v>749</v>
      </c>
      <c r="B443" s="618" t="s">
        <v>818</v>
      </c>
      <c r="C443" s="618" t="s">
        <v>932</v>
      </c>
      <c r="D443" s="631" t="s">
        <v>513</v>
      </c>
      <c r="E443" s="631" t="s">
        <v>799</v>
      </c>
      <c r="F443" s="628"/>
      <c r="G443" s="628">
        <v>1</v>
      </c>
      <c r="H443" s="628"/>
      <c r="I443" s="626">
        <v>7.48</v>
      </c>
      <c r="J443" s="628">
        <v>1</v>
      </c>
      <c r="K443" s="140">
        <f t="shared" si="56"/>
        <v>7.48</v>
      </c>
      <c r="L443" s="140">
        <f t="shared" si="57"/>
        <v>0</v>
      </c>
      <c r="M443" s="140">
        <f t="shared" si="58"/>
        <v>0</v>
      </c>
      <c r="N443" s="140">
        <f t="shared" si="59"/>
        <v>7.48</v>
      </c>
      <c r="O443" s="140">
        <f t="shared" si="60"/>
        <v>0</v>
      </c>
      <c r="P443" s="140">
        <f t="shared" si="61"/>
        <v>0</v>
      </c>
      <c r="Q443" s="156">
        <f t="shared" si="64"/>
        <v>33.803468208092454</v>
      </c>
      <c r="R443" s="125">
        <v>4.51918024172359</v>
      </c>
      <c r="S443" s="73">
        <f t="shared" si="62"/>
        <v>33.803468208092454</v>
      </c>
      <c r="T443" t="s">
        <v>793</v>
      </c>
    </row>
    <row r="444" spans="1:20">
      <c r="A444" s="618" t="s">
        <v>749</v>
      </c>
      <c r="B444" s="618" t="s">
        <v>790</v>
      </c>
      <c r="C444" s="618" t="s">
        <v>923</v>
      </c>
      <c r="D444" s="631" t="s">
        <v>497</v>
      </c>
      <c r="E444" s="631" t="s">
        <v>792</v>
      </c>
      <c r="F444" s="628">
        <v>0.30499999999999999</v>
      </c>
      <c r="G444" s="628">
        <v>0.41299999999999998</v>
      </c>
      <c r="H444" s="628"/>
      <c r="I444" s="626">
        <f>8*0.0254*7850*3*0.0254/8</f>
        <v>15.193517999999999</v>
      </c>
      <c r="J444" s="628">
        <v>1</v>
      </c>
      <c r="K444" s="140">
        <f t="shared" si="56"/>
        <v>1.9138514948699998</v>
      </c>
      <c r="L444" s="140">
        <f t="shared" si="57"/>
        <v>1.9138514948699998</v>
      </c>
      <c r="M444" s="140">
        <f t="shared" si="58"/>
        <v>0</v>
      </c>
      <c r="N444" s="140">
        <f t="shared" si="59"/>
        <v>0</v>
      </c>
      <c r="O444" s="140">
        <f t="shared" si="60"/>
        <v>0</v>
      </c>
      <c r="P444" s="140">
        <f t="shared" si="61"/>
        <v>0</v>
      </c>
      <c r="Q444" s="156">
        <f t="shared" si="64"/>
        <v>31.003063253035361</v>
      </c>
      <c r="R444" s="125">
        <v>2.0405453992311302</v>
      </c>
      <c r="S444" s="73">
        <f t="shared" si="62"/>
        <v>3.9053008626685992</v>
      </c>
      <c r="T444" t="s">
        <v>793</v>
      </c>
    </row>
    <row r="445" spans="1:20">
      <c r="A445" s="618" t="s">
        <v>749</v>
      </c>
      <c r="B445" s="618" t="s">
        <v>815</v>
      </c>
      <c r="C445" s="618" t="s">
        <v>933</v>
      </c>
      <c r="D445" s="631" t="s">
        <v>515</v>
      </c>
      <c r="E445" s="631" t="s">
        <v>817</v>
      </c>
      <c r="F445" s="628"/>
      <c r="G445" s="628">
        <v>1.7789999999999999</v>
      </c>
      <c r="H445" s="628"/>
      <c r="I445" s="626">
        <v>16.07</v>
      </c>
      <c r="J445" s="628">
        <v>1</v>
      </c>
      <c r="K445" s="140">
        <f t="shared" si="56"/>
        <v>28.588529999999999</v>
      </c>
      <c r="L445" s="140">
        <f t="shared" si="57"/>
        <v>0</v>
      </c>
      <c r="M445" s="140">
        <f t="shared" si="58"/>
        <v>28.588529999999999</v>
      </c>
      <c r="N445" s="140">
        <f t="shared" si="59"/>
        <v>0</v>
      </c>
      <c r="O445" s="140">
        <f t="shared" si="60"/>
        <v>0</v>
      </c>
      <c r="P445" s="140">
        <f t="shared" si="61"/>
        <v>0</v>
      </c>
      <c r="Q445" s="156">
        <f t="shared" si="64"/>
        <v>48.019997372569598</v>
      </c>
      <c r="R445" s="125">
        <v>2.98817656332107</v>
      </c>
      <c r="S445" s="73">
        <f t="shared" si="62"/>
        <v>85.4275753258013</v>
      </c>
      <c r="T445" t="s">
        <v>793</v>
      </c>
    </row>
    <row r="446" spans="1:20">
      <c r="A446" s="618" t="s">
        <v>749</v>
      </c>
      <c r="B446" s="618" t="s">
        <v>818</v>
      </c>
      <c r="C446" s="618" t="s">
        <v>934</v>
      </c>
      <c r="D446" s="631" t="s">
        <v>513</v>
      </c>
      <c r="E446" s="631" t="s">
        <v>799</v>
      </c>
      <c r="F446" s="628"/>
      <c r="G446" s="628"/>
      <c r="H446" s="628"/>
      <c r="I446" s="626">
        <v>3.95</v>
      </c>
      <c r="J446" s="628">
        <v>1</v>
      </c>
      <c r="K446" s="140">
        <f t="shared" si="56"/>
        <v>3.95</v>
      </c>
      <c r="L446" s="140">
        <f t="shared" si="57"/>
        <v>0</v>
      </c>
      <c r="M446" s="140">
        <f t="shared" si="58"/>
        <v>0</v>
      </c>
      <c r="N446" s="140">
        <f t="shared" si="59"/>
        <v>3.95</v>
      </c>
      <c r="O446" s="140">
        <f t="shared" si="60"/>
        <v>0</v>
      </c>
      <c r="P446" s="140">
        <f t="shared" si="61"/>
        <v>0</v>
      </c>
      <c r="Q446" s="156">
        <f t="shared" si="64"/>
        <v>17.850761954808181</v>
      </c>
      <c r="R446" s="125">
        <v>4.51918024172359</v>
      </c>
      <c r="S446" s="73">
        <f t="shared" si="62"/>
        <v>17.850761954808181</v>
      </c>
      <c r="T446" t="s">
        <v>793</v>
      </c>
    </row>
    <row r="447" spans="1:20">
      <c r="A447" s="618" t="s">
        <v>749</v>
      </c>
      <c r="B447" s="618" t="s">
        <v>815</v>
      </c>
      <c r="C447" s="618" t="s">
        <v>933</v>
      </c>
      <c r="D447" s="631" t="s">
        <v>515</v>
      </c>
      <c r="E447" s="631" t="s">
        <v>817</v>
      </c>
      <c r="F447" s="628"/>
      <c r="G447" s="628">
        <v>0.58399999999999996</v>
      </c>
      <c r="H447" s="628"/>
      <c r="I447" s="626">
        <v>16.07</v>
      </c>
      <c r="J447" s="628">
        <v>1</v>
      </c>
      <c r="K447" s="140">
        <f t="shared" si="56"/>
        <v>9.384879999999999</v>
      </c>
      <c r="L447" s="140">
        <f t="shared" si="57"/>
        <v>0</v>
      </c>
      <c r="M447" s="140">
        <f t="shared" si="58"/>
        <v>9.384879999999999</v>
      </c>
      <c r="N447" s="140">
        <f t="shared" si="59"/>
        <v>0</v>
      </c>
      <c r="O447" s="140">
        <f t="shared" si="60"/>
        <v>0</v>
      </c>
      <c r="P447" s="140">
        <f t="shared" si="61"/>
        <v>0</v>
      </c>
      <c r="Q447" s="156">
        <f t="shared" si="64"/>
        <v>48.019997372569598</v>
      </c>
      <c r="R447" s="125">
        <v>2.98817656332107</v>
      </c>
      <c r="S447" s="73">
        <f t="shared" si="62"/>
        <v>28.043678465580641</v>
      </c>
      <c r="T447" t="s">
        <v>793</v>
      </c>
    </row>
    <row r="448" spans="1:20">
      <c r="A448" s="618" t="s">
        <v>749</v>
      </c>
      <c r="B448" s="618" t="s">
        <v>790</v>
      </c>
      <c r="C448" s="618" t="s">
        <v>791</v>
      </c>
      <c r="D448" s="631" t="s">
        <v>497</v>
      </c>
      <c r="E448" s="631" t="s">
        <v>792</v>
      </c>
      <c r="F448" s="627"/>
      <c r="G448" s="627"/>
      <c r="H448" s="627">
        <f>+((1.342*1.342*3.1416/4)-(1.29*1.219*3.1416/4))</f>
        <v>0.17942777160000012</v>
      </c>
      <c r="I448" s="626">
        <f>8*0.0254*7850*3*0.0254/8</f>
        <v>15.193517999999999</v>
      </c>
      <c r="J448" s="627">
        <v>1</v>
      </c>
      <c r="K448" s="140">
        <f t="shared" si="56"/>
        <v>2.7261390775044902</v>
      </c>
      <c r="L448" s="140">
        <f t="shared" si="57"/>
        <v>2.7261390775044902</v>
      </c>
      <c r="M448" s="140">
        <f t="shared" si="58"/>
        <v>0</v>
      </c>
      <c r="N448" s="140">
        <f t="shared" si="59"/>
        <v>0</v>
      </c>
      <c r="O448" s="140">
        <f t="shared" si="60"/>
        <v>0</v>
      </c>
      <c r="P448" s="140">
        <f t="shared" si="61"/>
        <v>0</v>
      </c>
      <c r="Q448" s="156">
        <f t="shared" si="64"/>
        <v>31.003063253035361</v>
      </c>
      <c r="R448" s="125">
        <v>2.0405453992311302</v>
      </c>
      <c r="S448" s="73">
        <f t="shared" si="62"/>
        <v>5.5628105522659848</v>
      </c>
      <c r="T448" t="s">
        <v>793</v>
      </c>
    </row>
    <row r="449" spans="1:20">
      <c r="A449" s="618" t="s">
        <v>749</v>
      </c>
      <c r="B449" s="618" t="s">
        <v>790</v>
      </c>
      <c r="C449" s="618" t="s">
        <v>791</v>
      </c>
      <c r="D449" s="631" t="s">
        <v>497</v>
      </c>
      <c r="E449" s="631" t="s">
        <v>792</v>
      </c>
      <c r="F449" s="627">
        <v>0.62</v>
      </c>
      <c r="G449" s="627">
        <v>3.8</v>
      </c>
      <c r="H449" s="627"/>
      <c r="I449" s="626">
        <f>8*0.0254*7850*3*0.0254/8</f>
        <v>15.193517999999999</v>
      </c>
      <c r="J449" s="627">
        <v>1</v>
      </c>
      <c r="K449" s="140">
        <f t="shared" si="56"/>
        <v>35.795928407999995</v>
      </c>
      <c r="L449" s="140">
        <f t="shared" si="57"/>
        <v>35.795928407999995</v>
      </c>
      <c r="M449" s="140">
        <f t="shared" si="58"/>
        <v>0</v>
      </c>
      <c r="N449" s="140">
        <f t="shared" si="59"/>
        <v>0</v>
      </c>
      <c r="O449" s="140">
        <f t="shared" si="60"/>
        <v>0</v>
      </c>
      <c r="P449" s="140">
        <f t="shared" si="61"/>
        <v>0</v>
      </c>
      <c r="Q449" s="156">
        <f t="shared" si="64"/>
        <v>31.003063253035361</v>
      </c>
      <c r="R449" s="125">
        <v>2.0405453992311302</v>
      </c>
      <c r="S449" s="73">
        <f t="shared" si="62"/>
        <v>73.043217024151303</v>
      </c>
      <c r="T449" t="s">
        <v>793</v>
      </c>
    </row>
    <row r="450" spans="1:20">
      <c r="A450" s="618" t="s">
        <v>749</v>
      </c>
      <c r="B450" s="618" t="s">
        <v>790</v>
      </c>
      <c r="C450" s="618" t="s">
        <v>791</v>
      </c>
      <c r="D450" s="631" t="s">
        <v>497</v>
      </c>
      <c r="E450" s="631" t="s">
        <v>792</v>
      </c>
      <c r="F450" s="627"/>
      <c r="G450" s="627">
        <v>1.2</v>
      </c>
      <c r="H450" s="627"/>
      <c r="I450" s="626">
        <f>8*0.0254*7850*3*0.0254/8</f>
        <v>15.193517999999999</v>
      </c>
      <c r="J450" s="627">
        <v>1</v>
      </c>
      <c r="K450" s="140">
        <f t="shared" si="56"/>
        <v>18.232221599999999</v>
      </c>
      <c r="L450" s="140">
        <f t="shared" si="57"/>
        <v>18.232221599999999</v>
      </c>
      <c r="M450" s="140">
        <f t="shared" si="58"/>
        <v>0</v>
      </c>
      <c r="N450" s="140">
        <f t="shared" si="59"/>
        <v>0</v>
      </c>
      <c r="O450" s="140">
        <f t="shared" si="60"/>
        <v>0</v>
      </c>
      <c r="P450" s="140">
        <f t="shared" si="61"/>
        <v>0</v>
      </c>
      <c r="Q450" s="156">
        <f t="shared" si="64"/>
        <v>31.003063253035361</v>
      </c>
      <c r="R450" s="125">
        <v>2.0405453992311302</v>
      </c>
      <c r="S450" s="73">
        <f t="shared" si="62"/>
        <v>37.203675903642434</v>
      </c>
      <c r="T450" t="s">
        <v>793</v>
      </c>
    </row>
    <row r="451" spans="1:20">
      <c r="A451" s="618" t="s">
        <v>750</v>
      </c>
      <c r="B451" s="618" t="s">
        <v>797</v>
      </c>
      <c r="C451" s="618" t="s">
        <v>843</v>
      </c>
      <c r="D451" s="631" t="s">
        <v>513</v>
      </c>
      <c r="E451" s="631" t="s">
        <v>799</v>
      </c>
      <c r="F451" s="628"/>
      <c r="G451" s="628"/>
      <c r="H451" s="628"/>
      <c r="I451" s="626">
        <v>0.1</v>
      </c>
      <c r="J451" s="628">
        <v>56</v>
      </c>
      <c r="K451" s="140">
        <f t="shared" ref="K451:K514" si="66">PRODUCT(F451:J451)</f>
        <v>5.6000000000000005</v>
      </c>
      <c r="L451" s="140">
        <f t="shared" ref="L451:L514" si="67">IF(B451="Lámina",K451,0)</f>
        <v>0</v>
      </c>
      <c r="M451" s="140">
        <f t="shared" ref="M451:M514" si="68">IF(B451="Tubería",K451,0)</f>
        <v>0</v>
      </c>
      <c r="N451" s="140">
        <f t="shared" ref="N451:N514" si="69">IF(B451="Accesorio",K451,0)</f>
        <v>0</v>
      </c>
      <c r="O451" s="140">
        <f t="shared" ref="O451:O514" si="70">IF(B451="Perfil",K451,0)</f>
        <v>0</v>
      </c>
      <c r="P451" s="140">
        <f t="shared" ref="P451:P514" si="71">IF(B451="Tornillería",K451,0)</f>
        <v>5.6000000000000005</v>
      </c>
      <c r="Q451" s="156">
        <f t="shared" si="64"/>
        <v>0.32133473462953205</v>
      </c>
      <c r="R451" s="125">
        <v>3.2133473462953202</v>
      </c>
      <c r="S451" s="73">
        <f t="shared" ref="S451:S514" si="72">R451*K451</f>
        <v>17.994745139253794</v>
      </c>
      <c r="T451" t="s">
        <v>800</v>
      </c>
    </row>
    <row r="452" spans="1:20">
      <c r="A452" s="618" t="s">
        <v>750</v>
      </c>
      <c r="B452" s="618" t="s">
        <v>797</v>
      </c>
      <c r="C452" s="618" t="s">
        <v>935</v>
      </c>
      <c r="D452" s="631" t="s">
        <v>513</v>
      </c>
      <c r="E452" s="631" t="s">
        <v>799</v>
      </c>
      <c r="F452" s="628"/>
      <c r="G452" s="628"/>
      <c r="H452" s="628"/>
      <c r="I452" s="626">
        <v>0.35</v>
      </c>
      <c r="J452" s="628">
        <v>28</v>
      </c>
      <c r="K452" s="140">
        <f t="shared" si="66"/>
        <v>9.7999999999999989</v>
      </c>
      <c r="L452" s="140">
        <f t="shared" si="67"/>
        <v>0</v>
      </c>
      <c r="M452" s="140">
        <f t="shared" si="68"/>
        <v>0</v>
      </c>
      <c r="N452" s="140">
        <f t="shared" si="69"/>
        <v>0</v>
      </c>
      <c r="O452" s="140">
        <f t="shared" si="70"/>
        <v>0</v>
      </c>
      <c r="P452" s="140">
        <f t="shared" si="71"/>
        <v>9.7999999999999989</v>
      </c>
      <c r="Q452" s="156">
        <f t="shared" si="64"/>
        <v>1.1246715712033619</v>
      </c>
      <c r="R452" s="125">
        <v>3.2133473462953202</v>
      </c>
      <c r="S452" s="73">
        <f t="shared" si="72"/>
        <v>31.490803993694133</v>
      </c>
      <c r="T452" t="s">
        <v>800</v>
      </c>
    </row>
    <row r="453" spans="1:20">
      <c r="A453" s="618" t="s">
        <v>750</v>
      </c>
      <c r="B453" s="618" t="s">
        <v>790</v>
      </c>
      <c r="C453" s="618" t="s">
        <v>936</v>
      </c>
      <c r="D453" s="631" t="s">
        <v>497</v>
      </c>
      <c r="E453" s="631" t="s">
        <v>792</v>
      </c>
      <c r="F453" s="628"/>
      <c r="G453" s="628"/>
      <c r="H453" s="628">
        <f>((0.832*0.832*3.1416/4)-(0.61*0.61*3.1416/4))</f>
        <v>0.25142538959999994</v>
      </c>
      <c r="I453" s="626">
        <f>8*0.0254*7850*3*0.0254/8</f>
        <v>15.193517999999999</v>
      </c>
      <c r="J453" s="628">
        <v>1</v>
      </c>
      <c r="K453" s="140">
        <f t="shared" si="66"/>
        <v>3.8200361825446119</v>
      </c>
      <c r="L453" s="140">
        <f t="shared" si="67"/>
        <v>3.8200361825446119</v>
      </c>
      <c r="M453" s="140">
        <f t="shared" si="68"/>
        <v>0</v>
      </c>
      <c r="N453" s="140">
        <f t="shared" si="69"/>
        <v>0</v>
      </c>
      <c r="O453" s="140">
        <f t="shared" si="70"/>
        <v>0</v>
      </c>
      <c r="P453" s="140">
        <f t="shared" si="71"/>
        <v>0</v>
      </c>
      <c r="Q453" s="156">
        <f t="shared" si="64"/>
        <v>31.003063253035361</v>
      </c>
      <c r="R453" s="125">
        <v>2.0405453992311302</v>
      </c>
      <c r="S453" s="73">
        <f t="shared" si="72"/>
        <v>7.7949572571878578</v>
      </c>
      <c r="T453" t="s">
        <v>793</v>
      </c>
    </row>
    <row r="454" spans="1:20">
      <c r="A454" s="618" t="s">
        <v>750</v>
      </c>
      <c r="B454" s="618" t="s">
        <v>790</v>
      </c>
      <c r="C454" s="618" t="s">
        <v>909</v>
      </c>
      <c r="D454" s="631" t="s">
        <v>497</v>
      </c>
      <c r="E454" s="631" t="s">
        <v>792</v>
      </c>
      <c r="F454" s="628"/>
      <c r="G454" s="628">
        <v>1</v>
      </c>
      <c r="H454" s="628"/>
      <c r="I454" s="626">
        <f>8*0.0254*7850*3*0.0254/8</f>
        <v>15.193517999999999</v>
      </c>
      <c r="J454" s="628">
        <v>1</v>
      </c>
      <c r="K454" s="140">
        <f t="shared" si="66"/>
        <v>15.193517999999999</v>
      </c>
      <c r="L454" s="140">
        <f t="shared" si="67"/>
        <v>15.193517999999999</v>
      </c>
      <c r="M454" s="140">
        <f t="shared" si="68"/>
        <v>0</v>
      </c>
      <c r="N454" s="140">
        <f t="shared" si="69"/>
        <v>0</v>
      </c>
      <c r="O454" s="140">
        <f t="shared" si="70"/>
        <v>0</v>
      </c>
      <c r="P454" s="140">
        <f t="shared" si="71"/>
        <v>0</v>
      </c>
      <c r="Q454" s="156">
        <f t="shared" si="64"/>
        <v>31.003063253035361</v>
      </c>
      <c r="R454" s="125">
        <v>2.0405453992311302</v>
      </c>
      <c r="S454" s="73">
        <f t="shared" si="72"/>
        <v>31.003063253035361</v>
      </c>
      <c r="T454" t="s">
        <v>793</v>
      </c>
    </row>
    <row r="455" spans="1:20">
      <c r="A455" s="618" t="s">
        <v>750</v>
      </c>
      <c r="B455" s="618" t="s">
        <v>790</v>
      </c>
      <c r="C455" s="618" t="s">
        <v>923</v>
      </c>
      <c r="D455" s="631" t="s">
        <v>497</v>
      </c>
      <c r="E455" s="631" t="s">
        <v>792</v>
      </c>
      <c r="F455" s="628"/>
      <c r="G455" s="628"/>
      <c r="H455" s="628">
        <f>0.832*0.832*3.1416/4</f>
        <v>0.5436727295999999</v>
      </c>
      <c r="I455" s="626">
        <f>8*0.0254*7850*3*0.0254/8</f>
        <v>15.193517999999999</v>
      </c>
      <c r="J455" s="628">
        <v>1</v>
      </c>
      <c r="K455" s="140">
        <f t="shared" si="66"/>
        <v>8.2603014032867303</v>
      </c>
      <c r="L455" s="140">
        <f t="shared" si="67"/>
        <v>8.2603014032867303</v>
      </c>
      <c r="M455" s="140">
        <f t="shared" si="68"/>
        <v>0</v>
      </c>
      <c r="N455" s="140">
        <f t="shared" si="69"/>
        <v>0</v>
      </c>
      <c r="O455" s="140">
        <f t="shared" si="70"/>
        <v>0</v>
      </c>
      <c r="P455" s="140">
        <f t="shared" si="71"/>
        <v>0</v>
      </c>
      <c r="Q455" s="156">
        <f t="shared" si="64"/>
        <v>31.003063253035361</v>
      </c>
      <c r="R455" s="125">
        <v>2.0405453992311302</v>
      </c>
      <c r="S455" s="73">
        <f t="shared" si="72"/>
        <v>16.855520024739185</v>
      </c>
      <c r="T455" t="s">
        <v>793</v>
      </c>
    </row>
    <row r="456" spans="1:20">
      <c r="A456" s="618" t="s">
        <v>750</v>
      </c>
      <c r="B456" s="618" t="s">
        <v>790</v>
      </c>
      <c r="C456" s="618" t="s">
        <v>856</v>
      </c>
      <c r="D456" s="631" t="s">
        <v>497</v>
      </c>
      <c r="E456" s="631" t="s">
        <v>792</v>
      </c>
      <c r="F456" s="628">
        <v>0.29099999999999998</v>
      </c>
      <c r="G456" s="628">
        <v>1.877</v>
      </c>
      <c r="H456" s="628"/>
      <c r="I456" s="626">
        <f>8*0.0254*7850*3*0.0254/8</f>
        <v>15.193517999999999</v>
      </c>
      <c r="J456" s="628">
        <v>1</v>
      </c>
      <c r="K456" s="140">
        <f t="shared" si="66"/>
        <v>8.298805886225999</v>
      </c>
      <c r="L456" s="140">
        <f t="shared" si="67"/>
        <v>8.298805886225999</v>
      </c>
      <c r="M456" s="140">
        <f t="shared" si="68"/>
        <v>0</v>
      </c>
      <c r="N456" s="140">
        <f t="shared" si="69"/>
        <v>0</v>
      </c>
      <c r="O456" s="140">
        <f t="shared" si="70"/>
        <v>0</v>
      </c>
      <c r="P456" s="140">
        <f t="shared" si="71"/>
        <v>0</v>
      </c>
      <c r="Q456" s="156">
        <f t="shared" si="64"/>
        <v>31.003063253035361</v>
      </c>
      <c r="R456" s="125">
        <v>2.0405453992311302</v>
      </c>
      <c r="S456" s="73">
        <f t="shared" si="72"/>
        <v>16.934090170250684</v>
      </c>
      <c r="T456" t="s">
        <v>793</v>
      </c>
    </row>
    <row r="457" spans="1:20">
      <c r="A457" s="618" t="s">
        <v>750</v>
      </c>
      <c r="B457" s="618" t="s">
        <v>790</v>
      </c>
      <c r="C457" s="618" t="s">
        <v>923</v>
      </c>
      <c r="D457" s="631" t="s">
        <v>497</v>
      </c>
      <c r="E457" s="631" t="s">
        <v>792</v>
      </c>
      <c r="F457" s="629">
        <v>1.2589999999999999</v>
      </c>
      <c r="G457" s="628">
        <v>1.2569999999999999</v>
      </c>
      <c r="H457" s="628"/>
      <c r="I457" s="626">
        <f>8*0.0254*7850*3*0.0254/8</f>
        <v>15.193517999999999</v>
      </c>
      <c r="J457" s="628">
        <v>1</v>
      </c>
      <c r="K457" s="140">
        <f t="shared" si="66"/>
        <v>24.044699426633994</v>
      </c>
      <c r="L457" s="140">
        <f t="shared" si="67"/>
        <v>24.044699426633994</v>
      </c>
      <c r="M457" s="140">
        <f t="shared" si="68"/>
        <v>0</v>
      </c>
      <c r="N457" s="140">
        <f t="shared" si="69"/>
        <v>0</v>
      </c>
      <c r="O457" s="140">
        <f t="shared" si="70"/>
        <v>0</v>
      </c>
      <c r="P457" s="140">
        <f t="shared" si="71"/>
        <v>0</v>
      </c>
      <c r="Q457" s="156">
        <f t="shared" si="64"/>
        <v>31.003063253035361</v>
      </c>
      <c r="R457" s="125">
        <v>2.0405453992311302</v>
      </c>
      <c r="S457" s="73">
        <f t="shared" si="72"/>
        <v>49.064300790913393</v>
      </c>
      <c r="T457" t="s">
        <v>793</v>
      </c>
    </row>
    <row r="458" spans="1:20">
      <c r="A458" s="618" t="s">
        <v>750</v>
      </c>
      <c r="B458" s="618" t="s">
        <v>797</v>
      </c>
      <c r="C458" s="618" t="s">
        <v>937</v>
      </c>
      <c r="D458" s="631" t="s">
        <v>515</v>
      </c>
      <c r="E458" s="631" t="s">
        <v>792</v>
      </c>
      <c r="F458" s="628"/>
      <c r="G458" s="628">
        <v>0.3</v>
      </c>
      <c r="H458" s="628"/>
      <c r="I458" s="626">
        <v>1.55</v>
      </c>
      <c r="J458" s="628">
        <v>2</v>
      </c>
      <c r="K458" s="140">
        <f t="shared" si="66"/>
        <v>0.92999999999999994</v>
      </c>
      <c r="L458" s="140">
        <f t="shared" si="67"/>
        <v>0</v>
      </c>
      <c r="M458" s="140">
        <f t="shared" si="68"/>
        <v>0</v>
      </c>
      <c r="N458" s="140">
        <f t="shared" si="69"/>
        <v>0</v>
      </c>
      <c r="O458" s="140">
        <f t="shared" si="70"/>
        <v>0</v>
      </c>
      <c r="P458" s="140">
        <f t="shared" si="71"/>
        <v>0.92999999999999994</v>
      </c>
      <c r="Q458" s="156">
        <f t="shared" si="64"/>
        <v>4.9806883867577465</v>
      </c>
      <c r="R458" s="125">
        <v>3.2133473462953202</v>
      </c>
      <c r="S458" s="73">
        <f t="shared" si="72"/>
        <v>2.9884130320546474</v>
      </c>
      <c r="T458" t="s">
        <v>793</v>
      </c>
    </row>
    <row r="459" spans="1:20">
      <c r="A459" s="618" t="s">
        <v>750</v>
      </c>
      <c r="B459" s="618" t="s">
        <v>790</v>
      </c>
      <c r="C459" s="618" t="s">
        <v>791</v>
      </c>
      <c r="D459" s="631" t="s">
        <v>497</v>
      </c>
      <c r="E459" s="631" t="s">
        <v>792</v>
      </c>
      <c r="F459" s="627">
        <v>0.05</v>
      </c>
      <c r="G459" s="627">
        <v>6.5000000000000002E-2</v>
      </c>
      <c r="H459" s="627"/>
      <c r="I459" s="626">
        <f>8*0.0254*7850*3*0.0254/8</f>
        <v>15.193517999999999</v>
      </c>
      <c r="J459" s="627">
        <v>1</v>
      </c>
      <c r="K459" s="140">
        <f t="shared" si="66"/>
        <v>4.93789335E-2</v>
      </c>
      <c r="L459" s="140">
        <f t="shared" si="67"/>
        <v>4.93789335E-2</v>
      </c>
      <c r="M459" s="140">
        <f t="shared" si="68"/>
        <v>0</v>
      </c>
      <c r="N459" s="140">
        <f t="shared" si="69"/>
        <v>0</v>
      </c>
      <c r="O459" s="140">
        <f t="shared" si="70"/>
        <v>0</v>
      </c>
      <c r="P459" s="140">
        <f t="shared" si="71"/>
        <v>0</v>
      </c>
      <c r="Q459" s="156">
        <f t="shared" si="64"/>
        <v>31.003063253035361</v>
      </c>
      <c r="R459" s="125">
        <v>2.0405453992311302</v>
      </c>
      <c r="S459" s="73">
        <f t="shared" si="72"/>
        <v>0.10075995557236493</v>
      </c>
      <c r="T459" t="s">
        <v>793</v>
      </c>
    </row>
    <row r="460" spans="1:20">
      <c r="A460" s="618" t="s">
        <v>750</v>
      </c>
      <c r="B460" s="618" t="s">
        <v>797</v>
      </c>
      <c r="C460" s="618" t="s">
        <v>876</v>
      </c>
      <c r="D460" s="631" t="s">
        <v>515</v>
      </c>
      <c r="E460" s="631" t="s">
        <v>792</v>
      </c>
      <c r="F460" s="628"/>
      <c r="G460" s="628">
        <v>0.125</v>
      </c>
      <c r="H460" s="628"/>
      <c r="I460" s="626">
        <v>3.98</v>
      </c>
      <c r="J460" s="628">
        <v>1</v>
      </c>
      <c r="K460" s="140">
        <f t="shared" si="66"/>
        <v>0.4975</v>
      </c>
      <c r="L460" s="140">
        <f t="shared" si="67"/>
        <v>0</v>
      </c>
      <c r="M460" s="140">
        <f t="shared" si="68"/>
        <v>0</v>
      </c>
      <c r="N460" s="140">
        <f t="shared" si="69"/>
        <v>0</v>
      </c>
      <c r="O460" s="140">
        <f t="shared" si="70"/>
        <v>0</v>
      </c>
      <c r="P460" s="140">
        <f t="shared" si="71"/>
        <v>0.4975</v>
      </c>
      <c r="Q460" s="156">
        <f t="shared" si="64"/>
        <v>12.789122438255374</v>
      </c>
      <c r="R460" s="125">
        <v>3.2133473462953202</v>
      </c>
      <c r="S460" s="73">
        <f t="shared" si="72"/>
        <v>1.5986403047819218</v>
      </c>
      <c r="T460" t="s">
        <v>800</v>
      </c>
    </row>
    <row r="461" spans="1:20">
      <c r="A461" s="618" t="s">
        <v>750</v>
      </c>
      <c r="B461" s="618" t="s">
        <v>790</v>
      </c>
      <c r="C461" s="618" t="s">
        <v>857</v>
      </c>
      <c r="D461" s="631" t="s">
        <v>497</v>
      </c>
      <c r="E461" s="631" t="s">
        <v>792</v>
      </c>
      <c r="F461" s="628"/>
      <c r="G461" s="628">
        <v>1</v>
      </c>
      <c r="H461" s="628">
        <f>(0.05*0.05*3.1416/4)-(0.02*0.02*3.1416/4)</f>
        <v>1.6493400000000004E-3</v>
      </c>
      <c r="I461" s="626">
        <f>8*0.0254*7850*3*0.0254/8</f>
        <v>15.193517999999999</v>
      </c>
      <c r="J461" s="628">
        <v>1</v>
      </c>
      <c r="K461" s="140">
        <f t="shared" si="66"/>
        <v>2.5059276978120007E-2</v>
      </c>
      <c r="L461" s="140">
        <f t="shared" si="67"/>
        <v>2.5059276978120007E-2</v>
      </c>
      <c r="M461" s="140">
        <f t="shared" si="68"/>
        <v>0</v>
      </c>
      <c r="N461" s="140">
        <f t="shared" si="69"/>
        <v>0</v>
      </c>
      <c r="O461" s="140">
        <f t="shared" si="70"/>
        <v>0</v>
      </c>
      <c r="P461" s="140">
        <f t="shared" si="71"/>
        <v>0</v>
      </c>
      <c r="Q461" s="156">
        <f t="shared" si="64"/>
        <v>31.003063253035361</v>
      </c>
      <c r="R461" s="125">
        <v>2.0405453992311302</v>
      </c>
      <c r="S461" s="73">
        <f t="shared" si="72"/>
        <v>5.1134592345761357E-2</v>
      </c>
      <c r="T461" t="s">
        <v>793</v>
      </c>
    </row>
    <row r="462" spans="1:20">
      <c r="A462" s="618" t="s">
        <v>750</v>
      </c>
      <c r="B462" s="618" t="s">
        <v>797</v>
      </c>
      <c r="C462" s="618" t="s">
        <v>938</v>
      </c>
      <c r="D462" s="631" t="s">
        <v>513</v>
      </c>
      <c r="E462" s="631" t="s">
        <v>799</v>
      </c>
      <c r="F462" s="628"/>
      <c r="G462" s="628"/>
      <c r="H462" s="628"/>
      <c r="I462" s="626">
        <v>3.5000000000000003E-2</v>
      </c>
      <c r="J462" s="628">
        <v>2</v>
      </c>
      <c r="K462" s="140">
        <f t="shared" si="66"/>
        <v>7.0000000000000007E-2</v>
      </c>
      <c r="L462" s="140">
        <f t="shared" si="67"/>
        <v>0</v>
      </c>
      <c r="M462" s="140">
        <f t="shared" si="68"/>
        <v>0</v>
      </c>
      <c r="N462" s="140">
        <f t="shared" si="69"/>
        <v>0</v>
      </c>
      <c r="O462" s="140">
        <f t="shared" si="70"/>
        <v>0</v>
      </c>
      <c r="P462" s="140">
        <f t="shared" si="71"/>
        <v>7.0000000000000007E-2</v>
      </c>
      <c r="Q462" s="156">
        <f t="shared" si="64"/>
        <v>0.11246715712033621</v>
      </c>
      <c r="R462" s="125">
        <v>3.2133473462953202</v>
      </c>
      <c r="S462" s="73">
        <f t="shared" si="72"/>
        <v>0.22493431424067242</v>
      </c>
      <c r="T462" t="s">
        <v>800</v>
      </c>
    </row>
    <row r="463" spans="1:20">
      <c r="A463" s="618" t="s">
        <v>750</v>
      </c>
      <c r="B463" s="618" t="s">
        <v>790</v>
      </c>
      <c r="C463" s="618" t="s">
        <v>939</v>
      </c>
      <c r="D463" s="631" t="s">
        <v>497</v>
      </c>
      <c r="E463" s="631" t="s">
        <v>792</v>
      </c>
      <c r="F463" s="628">
        <v>0.08</v>
      </c>
      <c r="G463" s="628">
        <v>0.1</v>
      </c>
      <c r="H463" s="628"/>
      <c r="I463" s="626">
        <f>8*0.0254*7850*3*0.0254/8</f>
        <v>15.193517999999999</v>
      </c>
      <c r="J463" s="628">
        <v>1</v>
      </c>
      <c r="K463" s="140">
        <f t="shared" si="66"/>
        <v>0.121548144</v>
      </c>
      <c r="L463" s="140">
        <f t="shared" si="67"/>
        <v>0.121548144</v>
      </c>
      <c r="M463" s="140">
        <f t="shared" si="68"/>
        <v>0</v>
      </c>
      <c r="N463" s="140">
        <f t="shared" si="69"/>
        <v>0</v>
      </c>
      <c r="O463" s="140">
        <f t="shared" si="70"/>
        <v>0</v>
      </c>
      <c r="P463" s="140">
        <f t="shared" si="71"/>
        <v>0</v>
      </c>
      <c r="Q463" s="156">
        <f t="shared" si="64"/>
        <v>31.003063253035361</v>
      </c>
      <c r="R463" s="125">
        <v>2.0405453992311302</v>
      </c>
      <c r="S463" s="73">
        <f t="shared" si="72"/>
        <v>0.24802450602428289</v>
      </c>
      <c r="T463" t="s">
        <v>793</v>
      </c>
    </row>
    <row r="464" spans="1:20">
      <c r="A464" s="618" t="s">
        <v>750</v>
      </c>
      <c r="B464" s="618" t="s">
        <v>790</v>
      </c>
      <c r="C464" s="618" t="s">
        <v>791</v>
      </c>
      <c r="D464" s="631" t="s">
        <v>497</v>
      </c>
      <c r="E464" s="631" t="s">
        <v>792</v>
      </c>
      <c r="F464" s="627">
        <v>0.06</v>
      </c>
      <c r="G464" s="627">
        <v>0.3</v>
      </c>
      <c r="H464" s="627"/>
      <c r="I464" s="626">
        <f>8*0.0254*7850*3*0.0254/8</f>
        <v>15.193517999999999</v>
      </c>
      <c r="J464" s="627">
        <v>1</v>
      </c>
      <c r="K464" s="140">
        <f t="shared" si="66"/>
        <v>0.27348332399999997</v>
      </c>
      <c r="L464" s="140">
        <f t="shared" si="67"/>
        <v>0.27348332399999997</v>
      </c>
      <c r="M464" s="140">
        <f t="shared" si="68"/>
        <v>0</v>
      </c>
      <c r="N464" s="140">
        <f t="shared" si="69"/>
        <v>0</v>
      </c>
      <c r="O464" s="140">
        <f t="shared" si="70"/>
        <v>0</v>
      </c>
      <c r="P464" s="140">
        <f t="shared" si="71"/>
        <v>0</v>
      </c>
      <c r="Q464" s="156">
        <f t="shared" si="64"/>
        <v>31.003063253035361</v>
      </c>
      <c r="R464" s="125">
        <v>2.0405453992311302</v>
      </c>
      <c r="S464" s="73">
        <f t="shared" si="72"/>
        <v>0.55805513855463651</v>
      </c>
      <c r="T464" t="s">
        <v>793</v>
      </c>
    </row>
    <row r="465" spans="1:20">
      <c r="A465" s="618" t="s">
        <v>750</v>
      </c>
      <c r="B465" s="618" t="s">
        <v>797</v>
      </c>
      <c r="C465" s="618" t="s">
        <v>940</v>
      </c>
      <c r="D465" s="631" t="s">
        <v>513</v>
      </c>
      <c r="E465" s="631" t="s">
        <v>799</v>
      </c>
      <c r="F465" s="628"/>
      <c r="G465" s="628"/>
      <c r="H465" s="628"/>
      <c r="I465" s="626">
        <v>0.23</v>
      </c>
      <c r="J465" s="628">
        <v>2</v>
      </c>
      <c r="K465" s="140">
        <f t="shared" si="66"/>
        <v>0.46</v>
      </c>
      <c r="L465" s="140">
        <f t="shared" si="67"/>
        <v>0</v>
      </c>
      <c r="M465" s="140">
        <f t="shared" si="68"/>
        <v>0</v>
      </c>
      <c r="N465" s="140">
        <f t="shared" si="69"/>
        <v>0</v>
      </c>
      <c r="O465" s="140">
        <f t="shared" si="70"/>
        <v>0</v>
      </c>
      <c r="P465" s="140">
        <f t="shared" si="71"/>
        <v>0.46</v>
      </c>
      <c r="Q465" s="156">
        <f t="shared" si="64"/>
        <v>0.50338938518129284</v>
      </c>
      <c r="R465" s="125">
        <v>2.1886495007882298</v>
      </c>
      <c r="S465" s="73">
        <f t="shared" si="72"/>
        <v>1.0067787703625857</v>
      </c>
      <c r="T465" t="s">
        <v>800</v>
      </c>
    </row>
    <row r="466" spans="1:20">
      <c r="A466" s="618" t="s">
        <v>750</v>
      </c>
      <c r="B466" s="618" t="s">
        <v>815</v>
      </c>
      <c r="C466" s="618" t="s">
        <v>941</v>
      </c>
      <c r="D466" s="631" t="s">
        <v>515</v>
      </c>
      <c r="E466" s="631" t="s">
        <v>817</v>
      </c>
      <c r="F466" s="628"/>
      <c r="G466" s="628">
        <v>0.33</v>
      </c>
      <c r="H466" s="628"/>
      <c r="I466" s="626">
        <v>14.9</v>
      </c>
      <c r="J466" s="628">
        <v>1</v>
      </c>
      <c r="K466" s="140">
        <f t="shared" si="66"/>
        <v>4.9170000000000007</v>
      </c>
      <c r="L466" s="140">
        <f t="shared" si="67"/>
        <v>0</v>
      </c>
      <c r="M466" s="140">
        <f t="shared" si="68"/>
        <v>4.9170000000000007</v>
      </c>
      <c r="N466" s="140">
        <f t="shared" si="69"/>
        <v>0</v>
      </c>
      <c r="O466" s="140">
        <f t="shared" si="70"/>
        <v>0</v>
      </c>
      <c r="P466" s="140">
        <f t="shared" si="71"/>
        <v>0</v>
      </c>
      <c r="Q466" s="156">
        <f t="shared" si="64"/>
        <v>44.523830793483945</v>
      </c>
      <c r="R466" s="125">
        <v>2.98817656332107</v>
      </c>
      <c r="S466" s="73">
        <f t="shared" si="72"/>
        <v>14.692864161849704</v>
      </c>
      <c r="T466" t="s">
        <v>793</v>
      </c>
    </row>
    <row r="467" spans="1:20">
      <c r="A467" s="618" t="s">
        <v>750</v>
      </c>
      <c r="B467" s="618" t="s">
        <v>797</v>
      </c>
      <c r="C467" s="618" t="s">
        <v>942</v>
      </c>
      <c r="D467" s="631" t="s">
        <v>515</v>
      </c>
      <c r="E467" s="631" t="s">
        <v>792</v>
      </c>
      <c r="F467" s="628"/>
      <c r="G467" s="628">
        <v>1.0429999999999999</v>
      </c>
      <c r="H467" s="628"/>
      <c r="I467" s="626">
        <v>1</v>
      </c>
      <c r="J467" s="628">
        <v>1</v>
      </c>
      <c r="K467" s="140">
        <f t="shared" si="66"/>
        <v>1.0429999999999999</v>
      </c>
      <c r="L467" s="140">
        <f t="shared" si="67"/>
        <v>0</v>
      </c>
      <c r="M467" s="140">
        <f t="shared" si="68"/>
        <v>0</v>
      </c>
      <c r="N467" s="140">
        <f t="shared" si="69"/>
        <v>0</v>
      </c>
      <c r="O467" s="140">
        <f t="shared" si="70"/>
        <v>0</v>
      </c>
      <c r="P467" s="140">
        <f t="shared" si="71"/>
        <v>1.0429999999999999</v>
      </c>
      <c r="Q467" s="156">
        <f t="shared" si="64"/>
        <v>3.2133473462953202</v>
      </c>
      <c r="R467" s="125">
        <v>3.2133473462953202</v>
      </c>
      <c r="S467" s="73">
        <f t="shared" si="72"/>
        <v>3.3515212821860185</v>
      </c>
      <c r="T467" t="s">
        <v>800</v>
      </c>
    </row>
    <row r="468" spans="1:20">
      <c r="A468" s="618" t="s">
        <v>751</v>
      </c>
      <c r="B468" s="618" t="s">
        <v>790</v>
      </c>
      <c r="C468" s="618" t="s">
        <v>814</v>
      </c>
      <c r="D468" s="631" t="s">
        <v>497</v>
      </c>
      <c r="E468" s="631" t="s">
        <v>792</v>
      </c>
      <c r="F468" s="628">
        <v>2.3759999999999999</v>
      </c>
      <c r="G468" s="628">
        <v>1.113</v>
      </c>
      <c r="H468" s="628"/>
      <c r="I468" s="626">
        <f>8*0.0254*7850*3*0.0254/8</f>
        <v>15.193517999999999</v>
      </c>
      <c r="J468" s="628">
        <v>1</v>
      </c>
      <c r="K468" s="140">
        <f t="shared" si="66"/>
        <v>40.179076028783996</v>
      </c>
      <c r="L468" s="140">
        <f t="shared" si="67"/>
        <v>40.179076028783996</v>
      </c>
      <c r="M468" s="140">
        <f t="shared" si="68"/>
        <v>0</v>
      </c>
      <c r="N468" s="140">
        <f t="shared" si="69"/>
        <v>0</v>
      </c>
      <c r="O468" s="140">
        <f t="shared" si="70"/>
        <v>0</v>
      </c>
      <c r="P468" s="140">
        <f t="shared" si="71"/>
        <v>0</v>
      </c>
      <c r="Q468" s="156">
        <f t="shared" si="64"/>
        <v>31.003063253035361</v>
      </c>
      <c r="R468" s="125">
        <v>2.0405453992311302</v>
      </c>
      <c r="S468" s="73">
        <f t="shared" si="72"/>
        <v>81.98722873589297</v>
      </c>
      <c r="T468" t="s">
        <v>793</v>
      </c>
    </row>
    <row r="469" spans="1:20">
      <c r="A469" s="618" t="s">
        <v>751</v>
      </c>
      <c r="B469" s="618" t="s">
        <v>790</v>
      </c>
      <c r="C469" s="618" t="s">
        <v>814</v>
      </c>
      <c r="D469" s="631" t="s">
        <v>497</v>
      </c>
      <c r="E469" s="631" t="s">
        <v>792</v>
      </c>
      <c r="F469" s="628"/>
      <c r="G469" s="628"/>
      <c r="H469" s="627">
        <f>((0.885*0.885*3.1416/4)-(0.763*0.763*3.1416/4))</f>
        <v>0.15790938239999996</v>
      </c>
      <c r="I469" s="626">
        <f>8*0.0254*7850*3*0.0254/8</f>
        <v>15.193517999999999</v>
      </c>
      <c r="J469" s="628">
        <v>1</v>
      </c>
      <c r="K469" s="140">
        <f t="shared" si="66"/>
        <v>2.3991990438632826</v>
      </c>
      <c r="L469" s="140">
        <f t="shared" si="67"/>
        <v>2.3991990438632826</v>
      </c>
      <c r="M469" s="140">
        <f t="shared" si="68"/>
        <v>0</v>
      </c>
      <c r="N469" s="140">
        <f t="shared" si="69"/>
        <v>0</v>
      </c>
      <c r="O469" s="140">
        <f t="shared" si="70"/>
        <v>0</v>
      </c>
      <c r="P469" s="140">
        <f t="shared" si="71"/>
        <v>0</v>
      </c>
      <c r="Q469" s="156">
        <f t="shared" si="64"/>
        <v>31.003063253035361</v>
      </c>
      <c r="R469" s="125">
        <v>2.0405453992311302</v>
      </c>
      <c r="S469" s="73">
        <f t="shared" si="72"/>
        <v>4.8956745707949478</v>
      </c>
      <c r="T469" t="s">
        <v>793</v>
      </c>
    </row>
    <row r="470" spans="1:20">
      <c r="A470" s="618" t="s">
        <v>751</v>
      </c>
      <c r="B470" s="618" t="s">
        <v>797</v>
      </c>
      <c r="C470" s="618" t="s">
        <v>862</v>
      </c>
      <c r="D470" s="631" t="s">
        <v>513</v>
      </c>
      <c r="E470" s="631" t="s">
        <v>799</v>
      </c>
      <c r="F470" s="628"/>
      <c r="G470" s="628">
        <v>1</v>
      </c>
      <c r="H470" s="628"/>
      <c r="I470" s="626">
        <v>0.1</v>
      </c>
      <c r="J470" s="628">
        <v>1</v>
      </c>
      <c r="K470" s="140">
        <f t="shared" si="66"/>
        <v>0.1</v>
      </c>
      <c r="L470" s="140">
        <f t="shared" si="67"/>
        <v>0</v>
      </c>
      <c r="M470" s="140">
        <f t="shared" si="68"/>
        <v>0</v>
      </c>
      <c r="N470" s="140">
        <f t="shared" si="69"/>
        <v>0</v>
      </c>
      <c r="O470" s="140">
        <f t="shared" si="70"/>
        <v>0</v>
      </c>
      <c r="P470" s="140">
        <f t="shared" si="71"/>
        <v>0.1</v>
      </c>
      <c r="Q470" s="156">
        <f t="shared" si="64"/>
        <v>0.32133473462953205</v>
      </c>
      <c r="R470" s="125">
        <v>3.2133473462953202</v>
      </c>
      <c r="S470" s="73">
        <f t="shared" si="72"/>
        <v>0.32133473462953205</v>
      </c>
      <c r="T470" t="s">
        <v>800</v>
      </c>
    </row>
    <row r="471" spans="1:20">
      <c r="A471" s="618" t="s">
        <v>751</v>
      </c>
      <c r="B471" s="618" t="s">
        <v>790</v>
      </c>
      <c r="C471" s="618" t="s">
        <v>814</v>
      </c>
      <c r="D471" s="631" t="s">
        <v>497</v>
      </c>
      <c r="E471" s="631" t="s">
        <v>792</v>
      </c>
      <c r="F471" s="628"/>
      <c r="G471" s="628"/>
      <c r="H471" s="627">
        <f>(0.885*0.885*3.1416/4)</f>
        <v>0.61514491500000001</v>
      </c>
      <c r="I471" s="626">
        <f>8*0.0254*7850*3*0.0254/8</f>
        <v>15.193517999999999</v>
      </c>
      <c r="J471" s="628">
        <v>1</v>
      </c>
      <c r="K471" s="140">
        <f t="shared" si="66"/>
        <v>9.3462153386609703</v>
      </c>
      <c r="L471" s="140">
        <f t="shared" si="67"/>
        <v>9.3462153386609703</v>
      </c>
      <c r="M471" s="140">
        <f t="shared" si="68"/>
        <v>0</v>
      </c>
      <c r="N471" s="140">
        <f t="shared" si="69"/>
        <v>0</v>
      </c>
      <c r="O471" s="140">
        <f t="shared" si="70"/>
        <v>0</v>
      </c>
      <c r="P471" s="140">
        <f t="shared" si="71"/>
        <v>0</v>
      </c>
      <c r="Q471" s="156">
        <f t="shared" si="64"/>
        <v>31.003063253035361</v>
      </c>
      <c r="R471" s="125">
        <v>2.0405453992311302</v>
      </c>
      <c r="S471" s="73">
        <f t="shared" si="72"/>
        <v>19.071376709528064</v>
      </c>
      <c r="T471" t="s">
        <v>793</v>
      </c>
    </row>
    <row r="472" spans="1:20">
      <c r="A472" s="618" t="s">
        <v>751</v>
      </c>
      <c r="B472" s="618" t="s">
        <v>797</v>
      </c>
      <c r="C472" s="618" t="s">
        <v>900</v>
      </c>
      <c r="D472" s="631" t="s">
        <v>515</v>
      </c>
      <c r="E472" s="631" t="s">
        <v>792</v>
      </c>
      <c r="F472" s="628"/>
      <c r="G472" s="628">
        <v>0.3</v>
      </c>
      <c r="H472" s="628"/>
      <c r="I472" s="626">
        <v>1.55</v>
      </c>
      <c r="J472" s="628">
        <v>1</v>
      </c>
      <c r="K472" s="140">
        <f t="shared" si="66"/>
        <v>0.46499999999999997</v>
      </c>
      <c r="L472" s="140">
        <f t="shared" si="67"/>
        <v>0</v>
      </c>
      <c r="M472" s="140">
        <f t="shared" si="68"/>
        <v>0</v>
      </c>
      <c r="N472" s="140">
        <f t="shared" si="69"/>
        <v>0</v>
      </c>
      <c r="O472" s="140">
        <f t="shared" si="70"/>
        <v>0</v>
      </c>
      <c r="P472" s="140">
        <f t="shared" si="71"/>
        <v>0.46499999999999997</v>
      </c>
      <c r="Q472" s="156">
        <f t="shared" si="64"/>
        <v>4.9806883867577465</v>
      </c>
      <c r="R472" s="125">
        <v>3.2133473462953202</v>
      </c>
      <c r="S472" s="73">
        <f t="shared" si="72"/>
        <v>1.4942065160273237</v>
      </c>
      <c r="T472" t="s">
        <v>800</v>
      </c>
    </row>
    <row r="473" spans="1:20">
      <c r="A473" s="618" t="s">
        <v>751</v>
      </c>
      <c r="B473" s="618" t="s">
        <v>794</v>
      </c>
      <c r="C473" s="618" t="s">
        <v>943</v>
      </c>
      <c r="D473" s="631" t="s">
        <v>513</v>
      </c>
      <c r="E473" s="631" t="s">
        <v>799</v>
      </c>
      <c r="F473" s="628"/>
      <c r="G473" s="628">
        <v>2.726</v>
      </c>
      <c r="H473" s="628"/>
      <c r="I473" s="626">
        <f>3*0.0254*7850*0.0254*3/8</f>
        <v>5.6975692499999999</v>
      </c>
      <c r="J473" s="628">
        <v>2</v>
      </c>
      <c r="K473" s="140">
        <f t="shared" si="66"/>
        <v>31.063147551</v>
      </c>
      <c r="L473" s="140">
        <f t="shared" si="67"/>
        <v>0</v>
      </c>
      <c r="M473" s="140">
        <f t="shared" si="68"/>
        <v>0</v>
      </c>
      <c r="N473" s="140">
        <f t="shared" si="69"/>
        <v>0</v>
      </c>
      <c r="O473" s="140">
        <f t="shared" si="70"/>
        <v>31.063147551</v>
      </c>
      <c r="P473" s="140">
        <f t="shared" si="71"/>
        <v>0</v>
      </c>
      <c r="Q473" s="156">
        <f t="shared" si="64"/>
        <v>12.469982094718869</v>
      </c>
      <c r="R473" s="125">
        <v>2.1886495007882298</v>
      </c>
      <c r="S473" s="73">
        <f t="shared" si="72"/>
        <v>67.98634238040728</v>
      </c>
      <c r="T473" t="s">
        <v>793</v>
      </c>
    </row>
    <row r="474" spans="1:20">
      <c r="A474" s="618" t="s">
        <v>751</v>
      </c>
      <c r="B474" s="618" t="s">
        <v>797</v>
      </c>
      <c r="C474" s="618" t="s">
        <v>873</v>
      </c>
      <c r="D474" s="631" t="s">
        <v>515</v>
      </c>
      <c r="E474" s="631" t="s">
        <v>792</v>
      </c>
      <c r="F474" s="628"/>
      <c r="G474" s="628">
        <v>0.4</v>
      </c>
      <c r="H474" s="628"/>
      <c r="I474" s="626">
        <v>2.2349999999999999</v>
      </c>
      <c r="J474" s="628">
        <v>10</v>
      </c>
      <c r="K474" s="140">
        <f t="shared" si="66"/>
        <v>8.94</v>
      </c>
      <c r="L474" s="140">
        <f t="shared" si="67"/>
        <v>0</v>
      </c>
      <c r="M474" s="140">
        <f t="shared" si="68"/>
        <v>0</v>
      </c>
      <c r="N474" s="140">
        <f t="shared" si="69"/>
        <v>0</v>
      </c>
      <c r="O474" s="140">
        <f t="shared" si="70"/>
        <v>0</v>
      </c>
      <c r="P474" s="140">
        <f t="shared" si="71"/>
        <v>8.94</v>
      </c>
      <c r="Q474" s="156">
        <f t="shared" si="64"/>
        <v>7.1818313189700405</v>
      </c>
      <c r="R474" s="125">
        <v>3.2133473462953202</v>
      </c>
      <c r="S474" s="73">
        <f t="shared" si="72"/>
        <v>28.727325275880162</v>
      </c>
      <c r="T474" t="s">
        <v>800</v>
      </c>
    </row>
    <row r="475" spans="1:20">
      <c r="A475" s="618" t="s">
        <v>751</v>
      </c>
      <c r="B475" s="618" t="s">
        <v>790</v>
      </c>
      <c r="C475" s="618" t="s">
        <v>814</v>
      </c>
      <c r="D475" s="631" t="s">
        <v>497</v>
      </c>
      <c r="E475" s="631" t="s">
        <v>792</v>
      </c>
      <c r="F475" s="628"/>
      <c r="G475" s="628"/>
      <c r="H475" s="627">
        <f>((0.95*0.95*3.1416/4)-(0.766*0.766*3.1416/4))</f>
        <v>0.24798533759999991</v>
      </c>
      <c r="I475" s="626">
        <f>8*0.0254*7850*3*0.0254/8</f>
        <v>15.193517999999999</v>
      </c>
      <c r="J475" s="628">
        <v>1</v>
      </c>
      <c r="K475" s="140">
        <f t="shared" si="66"/>
        <v>3.7677696905616753</v>
      </c>
      <c r="L475" s="140">
        <f t="shared" si="67"/>
        <v>3.7677696905616753</v>
      </c>
      <c r="M475" s="140">
        <f t="shared" si="68"/>
        <v>0</v>
      </c>
      <c r="N475" s="140">
        <f t="shared" si="69"/>
        <v>0</v>
      </c>
      <c r="O475" s="140">
        <f t="shared" si="70"/>
        <v>0</v>
      </c>
      <c r="P475" s="140">
        <f t="shared" si="71"/>
        <v>0</v>
      </c>
      <c r="Q475" s="156">
        <f t="shared" si="64"/>
        <v>31.003063253035361</v>
      </c>
      <c r="R475" s="125">
        <v>2.0405453992311302</v>
      </c>
      <c r="S475" s="73">
        <f t="shared" si="72"/>
        <v>7.6883051074381257</v>
      </c>
      <c r="T475" t="s">
        <v>793</v>
      </c>
    </row>
    <row r="476" spans="1:20">
      <c r="A476" s="618" t="s">
        <v>751</v>
      </c>
      <c r="B476" s="618" t="s">
        <v>797</v>
      </c>
      <c r="C476" s="618" t="s">
        <v>940</v>
      </c>
      <c r="D476" s="631" t="s">
        <v>513</v>
      </c>
      <c r="E476" s="631" t="s">
        <v>799</v>
      </c>
      <c r="F476" s="628"/>
      <c r="G476" s="628"/>
      <c r="H476" s="628"/>
      <c r="I476" s="626">
        <v>0.23</v>
      </c>
      <c r="J476" s="628">
        <v>24</v>
      </c>
      <c r="K476" s="140">
        <f t="shared" si="66"/>
        <v>5.5200000000000005</v>
      </c>
      <c r="L476" s="140">
        <f t="shared" si="67"/>
        <v>0</v>
      </c>
      <c r="M476" s="140">
        <f t="shared" si="68"/>
        <v>0</v>
      </c>
      <c r="N476" s="140">
        <f t="shared" si="69"/>
        <v>0</v>
      </c>
      <c r="O476" s="140">
        <f t="shared" si="70"/>
        <v>0</v>
      </c>
      <c r="P476" s="140">
        <f t="shared" si="71"/>
        <v>5.5200000000000005</v>
      </c>
      <c r="Q476" s="156">
        <f t="shared" ref="Q476:Q539" si="73">I476*R476</f>
        <v>0.50338938518129284</v>
      </c>
      <c r="R476" s="125">
        <v>2.1886495007882298</v>
      </c>
      <c r="S476" s="73">
        <f t="shared" si="72"/>
        <v>12.081345244351029</v>
      </c>
      <c r="T476" t="s">
        <v>800</v>
      </c>
    </row>
    <row r="477" spans="1:20">
      <c r="A477" s="618" t="s">
        <v>751</v>
      </c>
      <c r="B477" s="618" t="s">
        <v>797</v>
      </c>
      <c r="C477" s="618" t="s">
        <v>899</v>
      </c>
      <c r="D477" s="631" t="s">
        <v>513</v>
      </c>
      <c r="E477" s="631" t="s">
        <v>799</v>
      </c>
      <c r="F477" s="628"/>
      <c r="G477" s="628"/>
      <c r="H477" s="628"/>
      <c r="I477" s="626">
        <v>0.06</v>
      </c>
      <c r="J477" s="628">
        <v>24</v>
      </c>
      <c r="K477" s="140">
        <f t="shared" si="66"/>
        <v>1.44</v>
      </c>
      <c r="L477" s="140">
        <f t="shared" si="67"/>
        <v>0</v>
      </c>
      <c r="M477" s="140">
        <f t="shared" si="68"/>
        <v>0</v>
      </c>
      <c r="N477" s="140">
        <f t="shared" si="69"/>
        <v>0</v>
      </c>
      <c r="O477" s="140">
        <f t="shared" si="70"/>
        <v>0</v>
      </c>
      <c r="P477" s="140">
        <f t="shared" si="71"/>
        <v>1.44</v>
      </c>
      <c r="Q477" s="156">
        <f t="shared" si="73"/>
        <v>0.1928008407777192</v>
      </c>
      <c r="R477" s="125">
        <v>3.2133473462953202</v>
      </c>
      <c r="S477" s="73">
        <f t="shared" si="72"/>
        <v>4.6272201786652607</v>
      </c>
      <c r="T477" t="s">
        <v>800</v>
      </c>
    </row>
    <row r="478" spans="1:20">
      <c r="A478" s="618" t="s">
        <v>752</v>
      </c>
      <c r="B478" s="618" t="s">
        <v>790</v>
      </c>
      <c r="C478" s="618" t="s">
        <v>901</v>
      </c>
      <c r="D478" s="631" t="s">
        <v>497</v>
      </c>
      <c r="E478" s="631" t="s">
        <v>792</v>
      </c>
      <c r="F478" s="628">
        <v>4.2999999999999997E-2</v>
      </c>
      <c r="G478" s="628">
        <v>9.4E-2</v>
      </c>
      <c r="H478" s="628"/>
      <c r="I478" s="626">
        <f>8*0.0254*7850*3*0.0254/8</f>
        <v>15.193517999999999</v>
      </c>
      <c r="J478" s="628">
        <v>6</v>
      </c>
      <c r="K478" s="140">
        <f t="shared" si="66"/>
        <v>0.36847319853599997</v>
      </c>
      <c r="L478" s="140">
        <f t="shared" si="67"/>
        <v>0.36847319853599997</v>
      </c>
      <c r="M478" s="140">
        <f t="shared" si="68"/>
        <v>0</v>
      </c>
      <c r="N478" s="140">
        <f t="shared" si="69"/>
        <v>0</v>
      </c>
      <c r="O478" s="140">
        <f t="shared" si="70"/>
        <v>0</v>
      </c>
      <c r="P478" s="140">
        <f t="shared" si="71"/>
        <v>0</v>
      </c>
      <c r="Q478" s="156">
        <f t="shared" si="73"/>
        <v>31.003063253035361</v>
      </c>
      <c r="R478" s="125">
        <v>2.0405453992311302</v>
      </c>
      <c r="S478" s="73">
        <f t="shared" si="72"/>
        <v>0.75188629001261353</v>
      </c>
      <c r="T478" t="s">
        <v>793</v>
      </c>
    </row>
    <row r="479" spans="1:20">
      <c r="A479" s="618" t="s">
        <v>752</v>
      </c>
      <c r="B479" s="618" t="s">
        <v>797</v>
      </c>
      <c r="C479" s="618" t="s">
        <v>877</v>
      </c>
      <c r="D479" s="631" t="s">
        <v>513</v>
      </c>
      <c r="E479" s="631" t="s">
        <v>799</v>
      </c>
      <c r="F479" s="628"/>
      <c r="G479" s="628"/>
      <c r="H479" s="628"/>
      <c r="I479" s="626">
        <v>3.5000000000000003E-2</v>
      </c>
      <c r="J479" s="628">
        <v>12</v>
      </c>
      <c r="K479" s="140">
        <f t="shared" si="66"/>
        <v>0.42000000000000004</v>
      </c>
      <c r="L479" s="140">
        <f t="shared" si="67"/>
        <v>0</v>
      </c>
      <c r="M479" s="140">
        <f t="shared" si="68"/>
        <v>0</v>
      </c>
      <c r="N479" s="140">
        <f t="shared" si="69"/>
        <v>0</v>
      </c>
      <c r="O479" s="140">
        <f t="shared" si="70"/>
        <v>0</v>
      </c>
      <c r="P479" s="140">
        <f t="shared" si="71"/>
        <v>0.42000000000000004</v>
      </c>
      <c r="Q479" s="156">
        <f t="shared" si="73"/>
        <v>0.11246715712033621</v>
      </c>
      <c r="R479" s="125">
        <v>3.2133473462953202</v>
      </c>
      <c r="S479" s="73">
        <f t="shared" si="72"/>
        <v>1.3496058854440345</v>
      </c>
      <c r="T479" t="s">
        <v>800</v>
      </c>
    </row>
    <row r="480" spans="1:20">
      <c r="A480" s="618" t="s">
        <v>752</v>
      </c>
      <c r="B480" s="618" t="s">
        <v>797</v>
      </c>
      <c r="C480" s="618" t="s">
        <v>944</v>
      </c>
      <c r="D480" s="631" t="s">
        <v>513</v>
      </c>
      <c r="E480" s="631" t="s">
        <v>799</v>
      </c>
      <c r="F480" s="628"/>
      <c r="G480" s="628"/>
      <c r="H480" s="628"/>
      <c r="I480" s="626">
        <v>0.1</v>
      </c>
      <c r="J480" s="628">
        <v>12</v>
      </c>
      <c r="K480" s="140">
        <f t="shared" si="66"/>
        <v>1.2000000000000002</v>
      </c>
      <c r="L480" s="140">
        <f t="shared" si="67"/>
        <v>0</v>
      </c>
      <c r="M480" s="140">
        <f t="shared" si="68"/>
        <v>0</v>
      </c>
      <c r="N480" s="140">
        <f t="shared" si="69"/>
        <v>0</v>
      </c>
      <c r="O480" s="140">
        <f t="shared" si="70"/>
        <v>0</v>
      </c>
      <c r="P480" s="140">
        <f t="shared" si="71"/>
        <v>1.2000000000000002</v>
      </c>
      <c r="Q480" s="156">
        <f t="shared" si="73"/>
        <v>0.21886495007882301</v>
      </c>
      <c r="R480" s="125">
        <v>2.1886495007882298</v>
      </c>
      <c r="S480" s="73">
        <f t="shared" si="72"/>
        <v>2.6263794009458761</v>
      </c>
      <c r="T480" t="s">
        <v>800</v>
      </c>
    </row>
    <row r="481" spans="1:20">
      <c r="A481" s="618" t="s">
        <v>752</v>
      </c>
      <c r="B481" s="618" t="s">
        <v>797</v>
      </c>
      <c r="C481" s="618" t="s">
        <v>945</v>
      </c>
      <c r="D481" s="631" t="s">
        <v>515</v>
      </c>
      <c r="E481" s="631" t="s">
        <v>792</v>
      </c>
      <c r="F481" s="628"/>
      <c r="G481" s="628">
        <v>0.50800000000000001</v>
      </c>
      <c r="H481" s="628"/>
      <c r="I481" s="626">
        <f>2*2*0.0254*7850*0.0254*3.1416/4</f>
        <v>15.910652049599999</v>
      </c>
      <c r="J481" s="628">
        <v>2</v>
      </c>
      <c r="K481" s="140">
        <f t="shared" si="66"/>
        <v>16.165222482393599</v>
      </c>
      <c r="L481" s="140">
        <f t="shared" si="67"/>
        <v>0</v>
      </c>
      <c r="M481" s="140">
        <f t="shared" si="68"/>
        <v>0</v>
      </c>
      <c r="N481" s="140">
        <f t="shared" si="69"/>
        <v>0</v>
      </c>
      <c r="O481" s="140">
        <f t="shared" si="70"/>
        <v>0</v>
      </c>
      <c r="P481" s="140">
        <f t="shared" si="71"/>
        <v>16.165222482393599</v>
      </c>
      <c r="Q481" s="156">
        <f t="shared" si="73"/>
        <v>51.126451541410354</v>
      </c>
      <c r="R481" s="125">
        <v>3.2133473462953202</v>
      </c>
      <c r="S481" s="73">
        <f t="shared" si="72"/>
        <v>51.944474766072915</v>
      </c>
      <c r="T481" t="s">
        <v>800</v>
      </c>
    </row>
    <row r="482" spans="1:20">
      <c r="A482" s="618" t="s">
        <v>752</v>
      </c>
      <c r="B482" s="618" t="s">
        <v>815</v>
      </c>
      <c r="C482" s="618" t="s">
        <v>946</v>
      </c>
      <c r="D482" s="631" t="s">
        <v>515</v>
      </c>
      <c r="E482" s="631" t="s">
        <v>817</v>
      </c>
      <c r="F482" s="628"/>
      <c r="G482" s="628">
        <v>7.0000000000000007E-2</v>
      </c>
      <c r="H482" s="628"/>
      <c r="I482" s="626">
        <v>5.41</v>
      </c>
      <c r="J482" s="628">
        <v>4</v>
      </c>
      <c r="K482" s="140">
        <f t="shared" si="66"/>
        <v>1.5148000000000001</v>
      </c>
      <c r="L482" s="140">
        <f t="shared" si="67"/>
        <v>0</v>
      </c>
      <c r="M482" s="140">
        <f t="shared" si="68"/>
        <v>1.5148000000000001</v>
      </c>
      <c r="N482" s="140">
        <f t="shared" si="69"/>
        <v>0</v>
      </c>
      <c r="O482" s="140">
        <f t="shared" si="70"/>
        <v>0</v>
      </c>
      <c r="P482" s="140">
        <f t="shared" si="71"/>
        <v>0</v>
      </c>
      <c r="Q482" s="156">
        <f t="shared" si="73"/>
        <v>21.045838150288994</v>
      </c>
      <c r="R482" s="125">
        <v>3.8901734104046199</v>
      </c>
      <c r="S482" s="73">
        <f t="shared" si="72"/>
        <v>5.8928346820809185</v>
      </c>
      <c r="T482" t="s">
        <v>793</v>
      </c>
    </row>
    <row r="483" spans="1:20">
      <c r="A483" s="618" t="s">
        <v>752</v>
      </c>
      <c r="B483" s="618" t="s">
        <v>790</v>
      </c>
      <c r="C483" s="618" t="s">
        <v>901</v>
      </c>
      <c r="D483" s="631" t="s">
        <v>497</v>
      </c>
      <c r="E483" s="631" t="s">
        <v>792</v>
      </c>
      <c r="F483" s="628">
        <v>0.08</v>
      </c>
      <c r="G483" s="628">
        <v>5.0999999999999997E-2</v>
      </c>
      <c r="H483" s="628"/>
      <c r="I483" s="626">
        <f t="shared" ref="I483:I493" si="74">8*0.0254*7850*3*0.0254/8</f>
        <v>15.193517999999999</v>
      </c>
      <c r="J483" s="628">
        <v>4</v>
      </c>
      <c r="K483" s="140">
        <f t="shared" si="66"/>
        <v>0.24795821375999996</v>
      </c>
      <c r="L483" s="140">
        <f t="shared" si="67"/>
        <v>0.24795821375999996</v>
      </c>
      <c r="M483" s="140">
        <f t="shared" si="68"/>
        <v>0</v>
      </c>
      <c r="N483" s="140">
        <f t="shared" si="69"/>
        <v>0</v>
      </c>
      <c r="O483" s="140">
        <f t="shared" si="70"/>
        <v>0</v>
      </c>
      <c r="P483" s="140">
        <f t="shared" si="71"/>
        <v>0</v>
      </c>
      <c r="Q483" s="156">
        <f t="shared" si="73"/>
        <v>31.003063253035361</v>
      </c>
      <c r="R483" s="125">
        <v>2.0405453992311302</v>
      </c>
      <c r="S483" s="73">
        <f t="shared" si="72"/>
        <v>0.5059699922895371</v>
      </c>
      <c r="T483" t="s">
        <v>793</v>
      </c>
    </row>
    <row r="484" spans="1:20">
      <c r="A484" s="618" t="s">
        <v>752</v>
      </c>
      <c r="B484" s="618" t="s">
        <v>790</v>
      </c>
      <c r="C484" s="618" t="s">
        <v>901</v>
      </c>
      <c r="D484" s="631" t="s">
        <v>497</v>
      </c>
      <c r="E484" s="631" t="s">
        <v>792</v>
      </c>
      <c r="F484" s="628">
        <v>0.08</v>
      </c>
      <c r="G484" s="628">
        <v>0.45100000000000001</v>
      </c>
      <c r="H484" s="628"/>
      <c r="I484" s="626">
        <f t="shared" si="74"/>
        <v>15.193517999999999</v>
      </c>
      <c r="J484" s="628">
        <v>2</v>
      </c>
      <c r="K484" s="140">
        <f t="shared" si="66"/>
        <v>1.09636425888</v>
      </c>
      <c r="L484" s="140">
        <f t="shared" si="67"/>
        <v>1.09636425888</v>
      </c>
      <c r="M484" s="140">
        <f t="shared" si="68"/>
        <v>0</v>
      </c>
      <c r="N484" s="140">
        <f t="shared" si="69"/>
        <v>0</v>
      </c>
      <c r="O484" s="140">
        <f t="shared" si="70"/>
        <v>0</v>
      </c>
      <c r="P484" s="140">
        <f t="shared" si="71"/>
        <v>0</v>
      </c>
      <c r="Q484" s="156">
        <f t="shared" si="73"/>
        <v>31.003063253035361</v>
      </c>
      <c r="R484" s="125">
        <v>2.0405453992311302</v>
      </c>
      <c r="S484" s="73">
        <f t="shared" si="72"/>
        <v>2.2371810443390316</v>
      </c>
      <c r="T484" t="s">
        <v>793</v>
      </c>
    </row>
    <row r="485" spans="1:20">
      <c r="A485" s="618" t="s">
        <v>752</v>
      </c>
      <c r="B485" s="618" t="s">
        <v>790</v>
      </c>
      <c r="C485" s="618" t="s">
        <v>901</v>
      </c>
      <c r="D485" s="631" t="s">
        <v>497</v>
      </c>
      <c r="E485" s="631" t="s">
        <v>792</v>
      </c>
      <c r="F485" s="628">
        <v>9.4E-2</v>
      </c>
      <c r="G485" s="628">
        <v>0.10100000000000001</v>
      </c>
      <c r="H485" s="628"/>
      <c r="I485" s="626">
        <f t="shared" si="74"/>
        <v>15.193517999999999</v>
      </c>
      <c r="J485" s="628">
        <v>2</v>
      </c>
      <c r="K485" s="140">
        <f t="shared" si="66"/>
        <v>0.28849451978399998</v>
      </c>
      <c r="L485" s="140">
        <f t="shared" si="67"/>
        <v>0.28849451978399998</v>
      </c>
      <c r="M485" s="140">
        <f t="shared" si="68"/>
        <v>0</v>
      </c>
      <c r="N485" s="140">
        <f t="shared" si="69"/>
        <v>0</v>
      </c>
      <c r="O485" s="140">
        <f t="shared" si="70"/>
        <v>0</v>
      </c>
      <c r="P485" s="140">
        <f t="shared" si="71"/>
        <v>0</v>
      </c>
      <c r="Q485" s="156">
        <f t="shared" si="73"/>
        <v>31.003063253035361</v>
      </c>
      <c r="R485" s="125">
        <v>2.0405453992311302</v>
      </c>
      <c r="S485" s="73">
        <f t="shared" si="72"/>
        <v>0.58868616504863547</v>
      </c>
      <c r="T485" t="s">
        <v>793</v>
      </c>
    </row>
    <row r="486" spans="1:20">
      <c r="A486" s="618" t="s">
        <v>752</v>
      </c>
      <c r="B486" s="618" t="s">
        <v>790</v>
      </c>
      <c r="C486" s="618" t="s">
        <v>901</v>
      </c>
      <c r="D486" s="631" t="s">
        <v>497</v>
      </c>
      <c r="E486" s="631" t="s">
        <v>792</v>
      </c>
      <c r="F486" s="628">
        <v>0.186</v>
      </c>
      <c r="G486" s="628">
        <v>0.48299999999999998</v>
      </c>
      <c r="H486" s="628"/>
      <c r="I486" s="626">
        <f t="shared" si="74"/>
        <v>15.193517999999999</v>
      </c>
      <c r="J486" s="628">
        <v>2</v>
      </c>
      <c r="K486" s="140">
        <f t="shared" si="66"/>
        <v>2.7299105401679999</v>
      </c>
      <c r="L486" s="140">
        <f t="shared" si="67"/>
        <v>2.7299105401679999</v>
      </c>
      <c r="M486" s="140">
        <f t="shared" si="68"/>
        <v>0</v>
      </c>
      <c r="N486" s="140">
        <f t="shared" si="69"/>
        <v>0</v>
      </c>
      <c r="O486" s="140">
        <f t="shared" si="70"/>
        <v>0</v>
      </c>
      <c r="P486" s="140">
        <f t="shared" si="71"/>
        <v>0</v>
      </c>
      <c r="Q486" s="156">
        <f t="shared" si="73"/>
        <v>31.003063253035361</v>
      </c>
      <c r="R486" s="125">
        <v>2.0405453992311302</v>
      </c>
      <c r="S486" s="73">
        <f t="shared" si="72"/>
        <v>5.5705063930523817</v>
      </c>
      <c r="T486" t="s">
        <v>793</v>
      </c>
    </row>
    <row r="487" spans="1:20">
      <c r="A487" s="618" t="s">
        <v>752</v>
      </c>
      <c r="B487" s="618" t="s">
        <v>790</v>
      </c>
      <c r="C487" s="618" t="s">
        <v>814</v>
      </c>
      <c r="D487" s="631" t="s">
        <v>497</v>
      </c>
      <c r="E487" s="631" t="s">
        <v>792</v>
      </c>
      <c r="F487" s="628">
        <v>0.153</v>
      </c>
      <c r="G487" s="628">
        <v>0.48899999999999999</v>
      </c>
      <c r="H487" s="628"/>
      <c r="I487" s="626">
        <f t="shared" si="74"/>
        <v>15.193517999999999</v>
      </c>
      <c r="J487" s="628">
        <v>2</v>
      </c>
      <c r="K487" s="140">
        <f t="shared" si="66"/>
        <v>2.2734668724119995</v>
      </c>
      <c r="L487" s="140">
        <f t="shared" si="67"/>
        <v>2.2734668724119995</v>
      </c>
      <c r="M487" s="140">
        <f t="shared" si="68"/>
        <v>0</v>
      </c>
      <c r="N487" s="140">
        <f t="shared" si="69"/>
        <v>0</v>
      </c>
      <c r="O487" s="140">
        <f t="shared" si="70"/>
        <v>0</v>
      </c>
      <c r="P487" s="140">
        <f t="shared" si="71"/>
        <v>0</v>
      </c>
      <c r="Q487" s="156">
        <f t="shared" si="73"/>
        <v>31.003063253035361</v>
      </c>
      <c r="R487" s="125">
        <v>2.0405453992311302</v>
      </c>
      <c r="S487" s="73">
        <f t="shared" si="72"/>
        <v>4.6391123668046923</v>
      </c>
      <c r="T487" t="s">
        <v>793</v>
      </c>
    </row>
    <row r="488" spans="1:20">
      <c r="A488" s="618" t="s">
        <v>752</v>
      </c>
      <c r="B488" s="618" t="s">
        <v>794</v>
      </c>
      <c r="C488" s="618" t="s">
        <v>880</v>
      </c>
      <c r="D488" s="631" t="s">
        <v>515</v>
      </c>
      <c r="E488" s="633" t="s">
        <v>792</v>
      </c>
      <c r="F488" s="628"/>
      <c r="G488" s="628">
        <v>0.96</v>
      </c>
      <c r="H488" s="628"/>
      <c r="I488" s="626">
        <f t="shared" si="74"/>
        <v>15.193517999999999</v>
      </c>
      <c r="J488" s="628">
        <v>2</v>
      </c>
      <c r="K488" s="140">
        <f t="shared" si="66"/>
        <v>29.171554559999997</v>
      </c>
      <c r="L488" s="140">
        <f t="shared" si="67"/>
        <v>0</v>
      </c>
      <c r="M488" s="140">
        <f t="shared" si="68"/>
        <v>0</v>
      </c>
      <c r="N488" s="140">
        <f t="shared" si="69"/>
        <v>0</v>
      </c>
      <c r="O488" s="140">
        <f t="shared" si="70"/>
        <v>29.171554559999997</v>
      </c>
      <c r="P488" s="140">
        <f t="shared" si="71"/>
        <v>0</v>
      </c>
      <c r="Q488" s="156">
        <f t="shared" si="73"/>
        <v>33.253285585916984</v>
      </c>
      <c r="R488" s="157">
        <v>2.1886495007882298</v>
      </c>
      <c r="S488" s="73">
        <f t="shared" si="72"/>
        <v>63.846308324960603</v>
      </c>
      <c r="T488" t="s">
        <v>793</v>
      </c>
    </row>
    <row r="489" spans="1:20">
      <c r="A489" s="618" t="s">
        <v>752</v>
      </c>
      <c r="B489" s="618" t="s">
        <v>790</v>
      </c>
      <c r="C489" s="618" t="s">
        <v>909</v>
      </c>
      <c r="D489" s="631" t="s">
        <v>497</v>
      </c>
      <c r="E489" s="631" t="s">
        <v>792</v>
      </c>
      <c r="F489" s="628">
        <v>0.71</v>
      </c>
      <c r="G489" s="628">
        <v>1.3</v>
      </c>
      <c r="H489" s="628"/>
      <c r="I489" s="626">
        <f t="shared" si="74"/>
        <v>15.193517999999999</v>
      </c>
      <c r="J489" s="628">
        <v>1</v>
      </c>
      <c r="K489" s="140">
        <f t="shared" si="66"/>
        <v>14.023617113999999</v>
      </c>
      <c r="L489" s="140">
        <f t="shared" si="67"/>
        <v>14.023617113999999</v>
      </c>
      <c r="M489" s="140">
        <f t="shared" si="68"/>
        <v>0</v>
      </c>
      <c r="N489" s="140">
        <f t="shared" si="69"/>
        <v>0</v>
      </c>
      <c r="O489" s="140">
        <f t="shared" si="70"/>
        <v>0</v>
      </c>
      <c r="P489" s="140">
        <f t="shared" si="71"/>
        <v>0</v>
      </c>
      <c r="Q489" s="156">
        <f t="shared" si="73"/>
        <v>31.003063253035361</v>
      </c>
      <c r="R489" s="125">
        <v>2.0405453992311302</v>
      </c>
      <c r="S489" s="73">
        <f t="shared" si="72"/>
        <v>28.615827382551636</v>
      </c>
      <c r="T489" t="s">
        <v>793</v>
      </c>
    </row>
    <row r="490" spans="1:20">
      <c r="A490" s="618" t="s">
        <v>752</v>
      </c>
      <c r="B490" s="618" t="s">
        <v>790</v>
      </c>
      <c r="C490" s="618" t="s">
        <v>814</v>
      </c>
      <c r="D490" s="631" t="s">
        <v>497</v>
      </c>
      <c r="E490" s="631" t="s">
        <v>792</v>
      </c>
      <c r="F490" s="628">
        <v>0.35499999999999998</v>
      </c>
      <c r="G490" s="628">
        <v>1.3</v>
      </c>
      <c r="H490" s="628"/>
      <c r="I490" s="626">
        <f t="shared" si="74"/>
        <v>15.193517999999999</v>
      </c>
      <c r="J490" s="628">
        <v>2</v>
      </c>
      <c r="K490" s="140">
        <f t="shared" si="66"/>
        <v>14.023617113999999</v>
      </c>
      <c r="L490" s="140">
        <f t="shared" si="67"/>
        <v>14.023617113999999</v>
      </c>
      <c r="M490" s="140">
        <f t="shared" si="68"/>
        <v>0</v>
      </c>
      <c r="N490" s="140">
        <f t="shared" si="69"/>
        <v>0</v>
      </c>
      <c r="O490" s="140">
        <f t="shared" si="70"/>
        <v>0</v>
      </c>
      <c r="P490" s="140">
        <f t="shared" si="71"/>
        <v>0</v>
      </c>
      <c r="Q490" s="156">
        <f t="shared" si="73"/>
        <v>31.003063253035361</v>
      </c>
      <c r="R490" s="125">
        <v>2.0405453992311302</v>
      </c>
      <c r="S490" s="73">
        <f t="shared" si="72"/>
        <v>28.615827382551636</v>
      </c>
      <c r="T490" t="s">
        <v>793</v>
      </c>
    </row>
    <row r="491" spans="1:20">
      <c r="A491" s="618" t="s">
        <v>752</v>
      </c>
      <c r="B491" s="618" t="s">
        <v>790</v>
      </c>
      <c r="C491" s="618" t="s">
        <v>814</v>
      </c>
      <c r="D491" s="631" t="s">
        <v>497</v>
      </c>
      <c r="E491" s="631" t="s">
        <v>792</v>
      </c>
      <c r="F491" s="628">
        <v>1.054</v>
      </c>
      <c r="G491" s="628">
        <v>1.4410000000000001</v>
      </c>
      <c r="H491" s="628"/>
      <c r="I491" s="626">
        <f t="shared" si="74"/>
        <v>15.193517999999999</v>
      </c>
      <c r="J491" s="628">
        <v>1</v>
      </c>
      <c r="K491" s="140">
        <f t="shared" si="66"/>
        <v>23.076127847652</v>
      </c>
      <c r="L491" s="140">
        <f t="shared" si="67"/>
        <v>23.076127847652</v>
      </c>
      <c r="M491" s="140">
        <f t="shared" si="68"/>
        <v>0</v>
      </c>
      <c r="N491" s="140">
        <f t="shared" si="69"/>
        <v>0</v>
      </c>
      <c r="O491" s="140">
        <f t="shared" si="70"/>
        <v>0</v>
      </c>
      <c r="P491" s="140">
        <f t="shared" si="71"/>
        <v>0</v>
      </c>
      <c r="Q491" s="156">
        <f t="shared" si="73"/>
        <v>31.003063253035361</v>
      </c>
      <c r="R491" s="125">
        <v>2.0405453992311302</v>
      </c>
      <c r="S491" s="73">
        <f t="shared" si="72"/>
        <v>47.087886511595649</v>
      </c>
      <c r="T491" t="s">
        <v>793</v>
      </c>
    </row>
    <row r="492" spans="1:20">
      <c r="A492" s="618" t="s">
        <v>752</v>
      </c>
      <c r="B492" s="618" t="s">
        <v>790</v>
      </c>
      <c r="C492" s="618" t="s">
        <v>814</v>
      </c>
      <c r="D492" s="631" t="s">
        <v>497</v>
      </c>
      <c r="E492" s="631" t="s">
        <v>792</v>
      </c>
      <c r="F492" s="628">
        <v>0.97799999999999998</v>
      </c>
      <c r="G492" s="628">
        <v>1.365</v>
      </c>
      <c r="H492" s="628"/>
      <c r="I492" s="626">
        <f t="shared" si="74"/>
        <v>15.193517999999999</v>
      </c>
      <c r="J492" s="628">
        <v>1</v>
      </c>
      <c r="K492" s="140">
        <f t="shared" si="66"/>
        <v>20.28289072446</v>
      </c>
      <c r="L492" s="140">
        <f t="shared" si="67"/>
        <v>20.28289072446</v>
      </c>
      <c r="M492" s="140">
        <f t="shared" si="68"/>
        <v>0</v>
      </c>
      <c r="N492" s="140">
        <f t="shared" si="69"/>
        <v>0</v>
      </c>
      <c r="O492" s="140">
        <f t="shared" si="70"/>
        <v>0</v>
      </c>
      <c r="P492" s="140">
        <f t="shared" si="71"/>
        <v>0</v>
      </c>
      <c r="Q492" s="156">
        <f t="shared" si="73"/>
        <v>31.003063253035361</v>
      </c>
      <c r="R492" s="125">
        <v>2.0405453992311302</v>
      </c>
      <c r="S492" s="73">
        <f t="shared" si="72"/>
        <v>41.388159350904616</v>
      </c>
      <c r="T492" t="s">
        <v>793</v>
      </c>
    </row>
    <row r="493" spans="1:20">
      <c r="A493" s="618" t="s">
        <v>752</v>
      </c>
      <c r="B493" s="618" t="s">
        <v>790</v>
      </c>
      <c r="C493" s="618" t="s">
        <v>791</v>
      </c>
      <c r="D493" s="631" t="s">
        <v>497</v>
      </c>
      <c r="E493" s="631" t="s">
        <v>792</v>
      </c>
      <c r="F493" s="627">
        <v>1.17</v>
      </c>
      <c r="G493" s="627">
        <v>4.3460000000000001</v>
      </c>
      <c r="H493" s="627"/>
      <c r="I493" s="626">
        <f t="shared" si="74"/>
        <v>15.193517999999999</v>
      </c>
      <c r="J493" s="628">
        <v>1</v>
      </c>
      <c r="K493" s="140">
        <f t="shared" si="66"/>
        <v>77.256304196759984</v>
      </c>
      <c r="L493" s="140">
        <f t="shared" si="67"/>
        <v>77.256304196759984</v>
      </c>
      <c r="M493" s="140">
        <f t="shared" si="68"/>
        <v>0</v>
      </c>
      <c r="N493" s="140">
        <f t="shared" si="69"/>
        <v>0</v>
      </c>
      <c r="O493" s="140">
        <f t="shared" si="70"/>
        <v>0</v>
      </c>
      <c r="P493" s="140">
        <f t="shared" si="71"/>
        <v>0</v>
      </c>
      <c r="Q493" s="156">
        <f t="shared" si="73"/>
        <v>31.003063253035361</v>
      </c>
      <c r="R493" s="125">
        <v>2.0405453992311302</v>
      </c>
      <c r="S493" s="73">
        <f t="shared" si="72"/>
        <v>157.64499609029923</v>
      </c>
      <c r="T493" t="s">
        <v>793</v>
      </c>
    </row>
    <row r="494" spans="1:20">
      <c r="A494" s="618" t="s">
        <v>752</v>
      </c>
      <c r="B494" s="618" t="s">
        <v>815</v>
      </c>
      <c r="C494" s="618" t="s">
        <v>947</v>
      </c>
      <c r="D494" s="631" t="s">
        <v>515</v>
      </c>
      <c r="E494" s="631" t="s">
        <v>817</v>
      </c>
      <c r="F494" s="628"/>
      <c r="G494" s="628">
        <v>0.7</v>
      </c>
      <c r="H494" s="628"/>
      <c r="I494" s="626">
        <v>140.88</v>
      </c>
      <c r="J494" s="628">
        <v>1</v>
      </c>
      <c r="K494" s="140">
        <f t="shared" si="66"/>
        <v>98.615999999999985</v>
      </c>
      <c r="L494" s="140">
        <f t="shared" si="67"/>
        <v>0</v>
      </c>
      <c r="M494" s="140">
        <f t="shared" si="68"/>
        <v>98.615999999999985</v>
      </c>
      <c r="N494" s="140">
        <f t="shared" si="69"/>
        <v>0</v>
      </c>
      <c r="O494" s="140">
        <f t="shared" si="70"/>
        <v>0</v>
      </c>
      <c r="P494" s="140">
        <f t="shared" si="71"/>
        <v>0</v>
      </c>
      <c r="Q494" s="156">
        <f t="shared" si="73"/>
        <v>420.9743142406723</v>
      </c>
      <c r="R494" s="125">
        <v>2.98817656332107</v>
      </c>
      <c r="S494" s="73">
        <f t="shared" si="72"/>
        <v>294.68201996847057</v>
      </c>
      <c r="T494" t="s">
        <v>793</v>
      </c>
    </row>
    <row r="495" spans="1:20">
      <c r="A495" s="618" t="s">
        <v>752</v>
      </c>
      <c r="B495" s="618" t="s">
        <v>790</v>
      </c>
      <c r="C495" s="618" t="s">
        <v>856</v>
      </c>
      <c r="D495" s="631" t="s">
        <v>497</v>
      </c>
      <c r="E495" s="631" t="s">
        <v>792</v>
      </c>
      <c r="F495" s="628"/>
      <c r="G495" s="628"/>
      <c r="H495" s="628">
        <f>0.588*0.588*3.1416/4</f>
        <v>0.27154733759999994</v>
      </c>
      <c r="I495" s="626">
        <f>8*0.0254*7850*3*0.0254/8</f>
        <v>15.193517999999999</v>
      </c>
      <c r="J495" s="628"/>
      <c r="K495" s="140">
        <f t="shared" si="66"/>
        <v>4.1257593616776758</v>
      </c>
      <c r="L495" s="140">
        <f t="shared" si="67"/>
        <v>4.1257593616776758</v>
      </c>
      <c r="M495" s="140">
        <f t="shared" si="68"/>
        <v>0</v>
      </c>
      <c r="N495" s="140">
        <f t="shared" si="69"/>
        <v>0</v>
      </c>
      <c r="O495" s="140">
        <f t="shared" si="70"/>
        <v>0</v>
      </c>
      <c r="P495" s="140">
        <f t="shared" si="71"/>
        <v>0</v>
      </c>
      <c r="Q495" s="156">
        <f t="shared" si="73"/>
        <v>31.003063253035361</v>
      </c>
      <c r="R495" s="125">
        <v>2.0405453992311302</v>
      </c>
      <c r="S495" s="73">
        <f t="shared" si="72"/>
        <v>8.4187992838061465</v>
      </c>
      <c r="T495" t="s">
        <v>793</v>
      </c>
    </row>
    <row r="496" spans="1:20">
      <c r="A496" s="618" t="s">
        <v>752</v>
      </c>
      <c r="B496" s="618" t="s">
        <v>790</v>
      </c>
      <c r="C496" s="618" t="s">
        <v>868</v>
      </c>
      <c r="D496" s="631" t="s">
        <v>497</v>
      </c>
      <c r="E496" s="631" t="s">
        <v>792</v>
      </c>
      <c r="F496" s="628"/>
      <c r="G496" s="628"/>
      <c r="H496" s="628">
        <f>0.71*0.71*3.1416/4</f>
        <v>0.39592013999999998</v>
      </c>
      <c r="I496" s="626">
        <f>8*0.0254*7850*3*0.0254/8</f>
        <v>15.193517999999999</v>
      </c>
      <c r="J496" s="628">
        <v>1</v>
      </c>
      <c r="K496" s="140">
        <f t="shared" si="66"/>
        <v>6.0154197736525195</v>
      </c>
      <c r="L496" s="140">
        <f t="shared" si="67"/>
        <v>6.0154197736525195</v>
      </c>
      <c r="M496" s="140">
        <f t="shared" si="68"/>
        <v>0</v>
      </c>
      <c r="N496" s="140">
        <f t="shared" si="69"/>
        <v>0</v>
      </c>
      <c r="O496" s="140">
        <f t="shared" si="70"/>
        <v>0</v>
      </c>
      <c r="P496" s="140">
        <f t="shared" si="71"/>
        <v>0</v>
      </c>
      <c r="Q496" s="156">
        <f t="shared" si="73"/>
        <v>31.003063253035361</v>
      </c>
      <c r="R496" s="125">
        <v>2.0405453992311302</v>
      </c>
      <c r="S496" s="73">
        <f t="shared" si="72"/>
        <v>12.274737143570615</v>
      </c>
      <c r="T496" t="s">
        <v>793</v>
      </c>
    </row>
    <row r="497" spans="1:20">
      <c r="A497" s="618" t="s">
        <v>752</v>
      </c>
      <c r="B497" s="618" t="s">
        <v>790</v>
      </c>
      <c r="C497" s="618" t="s">
        <v>814</v>
      </c>
      <c r="D497" s="631" t="s">
        <v>497</v>
      </c>
      <c r="E497" s="631" t="s">
        <v>792</v>
      </c>
      <c r="F497" s="628">
        <v>0.15</v>
      </c>
      <c r="G497" s="628">
        <v>0.15</v>
      </c>
      <c r="H497" s="628"/>
      <c r="I497" s="626">
        <f>8*0.0254*7850*3*0.0254/8</f>
        <v>15.193517999999999</v>
      </c>
      <c r="J497" s="628">
        <v>2</v>
      </c>
      <c r="K497" s="140">
        <f t="shared" si="66"/>
        <v>0.68370830999999999</v>
      </c>
      <c r="L497" s="140">
        <f t="shared" si="67"/>
        <v>0.68370830999999999</v>
      </c>
      <c r="M497" s="140">
        <f t="shared" si="68"/>
        <v>0</v>
      </c>
      <c r="N497" s="140">
        <f t="shared" si="69"/>
        <v>0</v>
      </c>
      <c r="O497" s="140">
        <f t="shared" si="70"/>
        <v>0</v>
      </c>
      <c r="P497" s="140">
        <f t="shared" si="71"/>
        <v>0</v>
      </c>
      <c r="Q497" s="156">
        <f t="shared" si="73"/>
        <v>31.003063253035361</v>
      </c>
      <c r="R497" s="125">
        <v>2.0405453992311302</v>
      </c>
      <c r="S497" s="73">
        <f t="shared" si="72"/>
        <v>1.3951378463865913</v>
      </c>
      <c r="T497" t="s">
        <v>793</v>
      </c>
    </row>
    <row r="498" spans="1:20">
      <c r="A498" s="618" t="s">
        <v>752</v>
      </c>
      <c r="B498" s="618" t="s">
        <v>794</v>
      </c>
      <c r="C498" s="618" t="s">
        <v>845</v>
      </c>
      <c r="D498" s="631" t="s">
        <v>515</v>
      </c>
      <c r="E498" s="633" t="s">
        <v>792</v>
      </c>
      <c r="F498" s="628"/>
      <c r="G498" s="628">
        <v>2.7749999999999999</v>
      </c>
      <c r="H498" s="628"/>
      <c r="I498" s="626">
        <f>12*0.0254*7850*0.25*0.0254</f>
        <v>15.193517999999999</v>
      </c>
      <c r="J498" s="628">
        <v>1</v>
      </c>
      <c r="K498" s="140">
        <f t="shared" si="66"/>
        <v>42.162012449999999</v>
      </c>
      <c r="L498" s="140">
        <f t="shared" si="67"/>
        <v>0</v>
      </c>
      <c r="M498" s="140">
        <f t="shared" si="68"/>
        <v>0</v>
      </c>
      <c r="N498" s="140">
        <f t="shared" si="69"/>
        <v>0</v>
      </c>
      <c r="O498" s="140">
        <f t="shared" si="70"/>
        <v>42.162012449999999</v>
      </c>
      <c r="P498" s="140">
        <f t="shared" si="71"/>
        <v>0</v>
      </c>
      <c r="Q498" s="156">
        <f t="shared" si="73"/>
        <v>33.253285585916984</v>
      </c>
      <c r="R498" s="157">
        <v>2.1886495007882298</v>
      </c>
      <c r="S498" s="73">
        <f t="shared" si="72"/>
        <v>92.277867500919626</v>
      </c>
      <c r="T498" t="s">
        <v>793</v>
      </c>
    </row>
    <row r="499" spans="1:20">
      <c r="A499" s="618" t="s">
        <v>752</v>
      </c>
      <c r="B499" s="618" t="s">
        <v>794</v>
      </c>
      <c r="C499" s="618" t="s">
        <v>883</v>
      </c>
      <c r="D499" s="631" t="s">
        <v>515</v>
      </c>
      <c r="E499" s="633" t="s">
        <v>792</v>
      </c>
      <c r="F499" s="628"/>
      <c r="G499" s="628">
        <v>1.3169999999999999</v>
      </c>
      <c r="H499" s="628"/>
      <c r="I499" s="626">
        <f>12*0.0254*7850*0.25*0.0254</f>
        <v>15.193517999999999</v>
      </c>
      <c r="J499" s="628">
        <v>2</v>
      </c>
      <c r="K499" s="140">
        <f t="shared" si="66"/>
        <v>40.019726411999997</v>
      </c>
      <c r="L499" s="140">
        <f t="shared" si="67"/>
        <v>0</v>
      </c>
      <c r="M499" s="140">
        <f t="shared" si="68"/>
        <v>0</v>
      </c>
      <c r="N499" s="140">
        <f t="shared" si="69"/>
        <v>0</v>
      </c>
      <c r="O499" s="140">
        <f t="shared" si="70"/>
        <v>40.019726411999997</v>
      </c>
      <c r="P499" s="140">
        <f t="shared" si="71"/>
        <v>0</v>
      </c>
      <c r="Q499" s="156">
        <f t="shared" si="73"/>
        <v>33.253285585916984</v>
      </c>
      <c r="R499" s="157">
        <v>2.1886495007882298</v>
      </c>
      <c r="S499" s="73">
        <f t="shared" si="72"/>
        <v>87.589154233305337</v>
      </c>
      <c r="T499" t="s">
        <v>793</v>
      </c>
    </row>
    <row r="500" spans="1:20">
      <c r="A500" s="618" t="s">
        <v>752</v>
      </c>
      <c r="B500" s="618" t="s">
        <v>790</v>
      </c>
      <c r="C500" s="618" t="s">
        <v>901</v>
      </c>
      <c r="D500" s="631" t="s">
        <v>497</v>
      </c>
      <c r="E500" s="631" t="s">
        <v>792</v>
      </c>
      <c r="F500" s="628">
        <v>4.2999999999999997E-2</v>
      </c>
      <c r="G500" s="628">
        <v>9.4E-2</v>
      </c>
      <c r="H500" s="628"/>
      <c r="I500" s="626">
        <f>12*0.0254*7850*0.25*0.0254</f>
        <v>15.193517999999999</v>
      </c>
      <c r="J500" s="628">
        <v>6</v>
      </c>
      <c r="K500" s="140">
        <f t="shared" si="66"/>
        <v>0.36847319853599997</v>
      </c>
      <c r="L500" s="140">
        <f t="shared" si="67"/>
        <v>0.36847319853599997</v>
      </c>
      <c r="M500" s="140">
        <f t="shared" si="68"/>
        <v>0</v>
      </c>
      <c r="N500" s="140">
        <f t="shared" si="69"/>
        <v>0</v>
      </c>
      <c r="O500" s="140">
        <f t="shared" si="70"/>
        <v>0</v>
      </c>
      <c r="P500" s="140">
        <f t="shared" si="71"/>
        <v>0</v>
      </c>
      <c r="Q500" s="156">
        <f t="shared" si="73"/>
        <v>31.003063253035361</v>
      </c>
      <c r="R500" s="125">
        <v>2.0405453992311302</v>
      </c>
      <c r="S500" s="73">
        <f t="shared" si="72"/>
        <v>0.75188629001261353</v>
      </c>
      <c r="T500" t="s">
        <v>793</v>
      </c>
    </row>
    <row r="501" spans="1:20">
      <c r="A501" s="618" t="s">
        <v>752</v>
      </c>
      <c r="B501" s="618" t="s">
        <v>797</v>
      </c>
      <c r="C501" s="618" t="s">
        <v>877</v>
      </c>
      <c r="D501" s="631" t="s">
        <v>513</v>
      </c>
      <c r="E501" s="631" t="s">
        <v>799</v>
      </c>
      <c r="F501" s="628"/>
      <c r="G501" s="628"/>
      <c r="H501" s="628"/>
      <c r="I501" s="626">
        <v>3.5000000000000003E-2</v>
      </c>
      <c r="J501" s="628">
        <v>12</v>
      </c>
      <c r="K501" s="140">
        <f t="shared" si="66"/>
        <v>0.42000000000000004</v>
      </c>
      <c r="L501" s="140">
        <f t="shared" si="67"/>
        <v>0</v>
      </c>
      <c r="M501" s="140">
        <f t="shared" si="68"/>
        <v>0</v>
      </c>
      <c r="N501" s="140">
        <f t="shared" si="69"/>
        <v>0</v>
      </c>
      <c r="O501" s="140">
        <f t="shared" si="70"/>
        <v>0</v>
      </c>
      <c r="P501" s="140">
        <f t="shared" si="71"/>
        <v>0.42000000000000004</v>
      </c>
      <c r="Q501" s="156">
        <f t="shared" si="73"/>
        <v>0.11246715712033621</v>
      </c>
      <c r="R501" s="125">
        <v>3.2133473462953202</v>
      </c>
      <c r="S501" s="73">
        <f t="shared" si="72"/>
        <v>1.3496058854440345</v>
      </c>
      <c r="T501" t="s">
        <v>793</v>
      </c>
    </row>
    <row r="502" spans="1:20">
      <c r="A502" s="618" t="s">
        <v>752</v>
      </c>
      <c r="B502" s="618" t="s">
        <v>797</v>
      </c>
      <c r="C502" s="618" t="s">
        <v>944</v>
      </c>
      <c r="D502" s="631" t="s">
        <v>513</v>
      </c>
      <c r="E502" s="631" t="s">
        <v>799</v>
      </c>
      <c r="F502" s="628"/>
      <c r="G502" s="628"/>
      <c r="H502" s="628"/>
      <c r="I502" s="626">
        <v>0.1</v>
      </c>
      <c r="J502" s="628">
        <v>12</v>
      </c>
      <c r="K502" s="140">
        <f t="shared" si="66"/>
        <v>1.2000000000000002</v>
      </c>
      <c r="L502" s="140">
        <f t="shared" si="67"/>
        <v>0</v>
      </c>
      <c r="M502" s="140">
        <f t="shared" si="68"/>
        <v>0</v>
      </c>
      <c r="N502" s="140">
        <f t="shared" si="69"/>
        <v>0</v>
      </c>
      <c r="O502" s="140">
        <f t="shared" si="70"/>
        <v>0</v>
      </c>
      <c r="P502" s="140">
        <f t="shared" si="71"/>
        <v>1.2000000000000002</v>
      </c>
      <c r="Q502" s="156">
        <f t="shared" si="73"/>
        <v>0.21886495007882301</v>
      </c>
      <c r="R502" s="125">
        <v>2.1886495007882298</v>
      </c>
      <c r="S502" s="73">
        <f t="shared" si="72"/>
        <v>2.6263794009458761</v>
      </c>
      <c r="T502" t="s">
        <v>800</v>
      </c>
    </row>
    <row r="503" spans="1:20">
      <c r="A503" s="618" t="s">
        <v>752</v>
      </c>
      <c r="B503" s="618" t="s">
        <v>797</v>
      </c>
      <c r="C503" s="618" t="s">
        <v>945</v>
      </c>
      <c r="D503" s="631" t="s">
        <v>515</v>
      </c>
      <c r="E503" s="631" t="s">
        <v>792</v>
      </c>
      <c r="F503" s="628"/>
      <c r="G503" s="628">
        <v>0.50800000000000001</v>
      </c>
      <c r="H503" s="628"/>
      <c r="I503" s="626">
        <f>2*2*0.0254*7850*0.0254*3.1416/4</f>
        <v>15.910652049599999</v>
      </c>
      <c r="J503" s="628">
        <v>2</v>
      </c>
      <c r="K503" s="140">
        <f t="shared" si="66"/>
        <v>16.165222482393599</v>
      </c>
      <c r="L503" s="140">
        <f t="shared" si="67"/>
        <v>0</v>
      </c>
      <c r="M503" s="140">
        <f t="shared" si="68"/>
        <v>0</v>
      </c>
      <c r="N503" s="140">
        <f t="shared" si="69"/>
        <v>0</v>
      </c>
      <c r="O503" s="140">
        <f t="shared" si="70"/>
        <v>0</v>
      </c>
      <c r="P503" s="140">
        <f t="shared" si="71"/>
        <v>16.165222482393599</v>
      </c>
      <c r="Q503" s="156">
        <f t="shared" si="73"/>
        <v>51.126451541410354</v>
      </c>
      <c r="R503" s="125">
        <v>3.2133473462953202</v>
      </c>
      <c r="S503" s="73">
        <f t="shared" si="72"/>
        <v>51.944474766072915</v>
      </c>
      <c r="T503" t="s">
        <v>800</v>
      </c>
    </row>
    <row r="504" spans="1:20">
      <c r="A504" s="618" t="s">
        <v>752</v>
      </c>
      <c r="B504" s="618" t="s">
        <v>815</v>
      </c>
      <c r="C504" s="618" t="s">
        <v>948</v>
      </c>
      <c r="D504" s="631" t="s">
        <v>515</v>
      </c>
      <c r="E504" s="631" t="s">
        <v>817</v>
      </c>
      <c r="F504" s="628"/>
      <c r="G504" s="628">
        <v>7.0000000000000007E-2</v>
      </c>
      <c r="H504" s="628"/>
      <c r="I504" s="626">
        <v>14.9</v>
      </c>
      <c r="J504" s="628">
        <v>4</v>
      </c>
      <c r="K504" s="140">
        <f t="shared" si="66"/>
        <v>4.1720000000000006</v>
      </c>
      <c r="L504" s="140">
        <f t="shared" si="67"/>
        <v>0</v>
      </c>
      <c r="M504" s="140">
        <f t="shared" si="68"/>
        <v>4.1720000000000006</v>
      </c>
      <c r="N504" s="140">
        <f t="shared" si="69"/>
        <v>0</v>
      </c>
      <c r="O504" s="140">
        <f t="shared" si="70"/>
        <v>0</v>
      </c>
      <c r="P504" s="140">
        <f t="shared" si="71"/>
        <v>0</v>
      </c>
      <c r="Q504" s="156">
        <f t="shared" si="73"/>
        <v>57.963583815028841</v>
      </c>
      <c r="R504" s="125">
        <v>3.8901734104046199</v>
      </c>
      <c r="S504" s="73">
        <f t="shared" si="72"/>
        <v>16.229803468208075</v>
      </c>
      <c r="T504" t="s">
        <v>800</v>
      </c>
    </row>
    <row r="505" spans="1:20">
      <c r="A505" s="618" t="s">
        <v>752</v>
      </c>
      <c r="B505" s="618" t="s">
        <v>790</v>
      </c>
      <c r="C505" s="618" t="s">
        <v>901</v>
      </c>
      <c r="D505" s="631" t="s">
        <v>497</v>
      </c>
      <c r="E505" s="631" t="s">
        <v>792</v>
      </c>
      <c r="F505" s="628">
        <v>0.08</v>
      </c>
      <c r="G505" s="628">
        <v>5.0999999999999997E-2</v>
      </c>
      <c r="H505" s="628"/>
      <c r="I505" s="626">
        <f t="shared" ref="I505:I516" si="75">12*0.0254*7850*0.25*0.0254</f>
        <v>15.193517999999999</v>
      </c>
      <c r="J505" s="628">
        <v>4</v>
      </c>
      <c r="K505" s="140">
        <f t="shared" si="66"/>
        <v>0.24795821375999996</v>
      </c>
      <c r="L505" s="140">
        <f t="shared" si="67"/>
        <v>0.24795821375999996</v>
      </c>
      <c r="M505" s="140">
        <f t="shared" si="68"/>
        <v>0</v>
      </c>
      <c r="N505" s="140">
        <f t="shared" si="69"/>
        <v>0</v>
      </c>
      <c r="O505" s="140">
        <f t="shared" si="70"/>
        <v>0</v>
      </c>
      <c r="P505" s="140">
        <f t="shared" si="71"/>
        <v>0</v>
      </c>
      <c r="Q505" s="156">
        <f t="shared" si="73"/>
        <v>31.003063253035361</v>
      </c>
      <c r="R505" s="125">
        <v>2.0405453992311302</v>
      </c>
      <c r="S505" s="73">
        <f t="shared" si="72"/>
        <v>0.5059699922895371</v>
      </c>
      <c r="T505" t="s">
        <v>793</v>
      </c>
    </row>
    <row r="506" spans="1:20">
      <c r="A506" s="618" t="s">
        <v>752</v>
      </c>
      <c r="B506" s="618" t="s">
        <v>790</v>
      </c>
      <c r="C506" s="618" t="s">
        <v>901</v>
      </c>
      <c r="D506" s="631" t="s">
        <v>497</v>
      </c>
      <c r="E506" s="631" t="s">
        <v>792</v>
      </c>
      <c r="F506" s="628">
        <v>0.08</v>
      </c>
      <c r="G506" s="628">
        <v>0.45100000000000001</v>
      </c>
      <c r="H506" s="628"/>
      <c r="I506" s="626">
        <f t="shared" si="75"/>
        <v>15.193517999999999</v>
      </c>
      <c r="J506" s="628">
        <v>2</v>
      </c>
      <c r="K506" s="140">
        <f t="shared" si="66"/>
        <v>1.09636425888</v>
      </c>
      <c r="L506" s="140">
        <f t="shared" si="67"/>
        <v>1.09636425888</v>
      </c>
      <c r="M506" s="140">
        <f t="shared" si="68"/>
        <v>0</v>
      </c>
      <c r="N506" s="140">
        <f t="shared" si="69"/>
        <v>0</v>
      </c>
      <c r="O506" s="140">
        <f t="shared" si="70"/>
        <v>0</v>
      </c>
      <c r="P506" s="140">
        <f t="shared" si="71"/>
        <v>0</v>
      </c>
      <c r="Q506" s="156">
        <f t="shared" si="73"/>
        <v>31.003063253035361</v>
      </c>
      <c r="R506" s="125">
        <v>2.0405453992311302</v>
      </c>
      <c r="S506" s="73">
        <f t="shared" si="72"/>
        <v>2.2371810443390316</v>
      </c>
      <c r="T506" t="s">
        <v>793</v>
      </c>
    </row>
    <row r="507" spans="1:20">
      <c r="A507" s="618" t="s">
        <v>752</v>
      </c>
      <c r="B507" s="618" t="s">
        <v>790</v>
      </c>
      <c r="C507" s="618" t="s">
        <v>901</v>
      </c>
      <c r="D507" s="631" t="s">
        <v>497</v>
      </c>
      <c r="E507" s="631" t="s">
        <v>792</v>
      </c>
      <c r="F507" s="628">
        <v>9.4E-2</v>
      </c>
      <c r="G507" s="628">
        <v>0.10100000000000001</v>
      </c>
      <c r="H507" s="628"/>
      <c r="I507" s="626">
        <f t="shared" si="75"/>
        <v>15.193517999999999</v>
      </c>
      <c r="J507" s="628">
        <v>2</v>
      </c>
      <c r="K507" s="140">
        <f t="shared" si="66"/>
        <v>0.28849451978399998</v>
      </c>
      <c r="L507" s="140">
        <f t="shared" si="67"/>
        <v>0.28849451978399998</v>
      </c>
      <c r="M507" s="140">
        <f t="shared" si="68"/>
        <v>0</v>
      </c>
      <c r="N507" s="140">
        <f t="shared" si="69"/>
        <v>0</v>
      </c>
      <c r="O507" s="140">
        <f t="shared" si="70"/>
        <v>0</v>
      </c>
      <c r="P507" s="140">
        <f t="shared" si="71"/>
        <v>0</v>
      </c>
      <c r="Q507" s="156">
        <f t="shared" si="73"/>
        <v>31.003063253035361</v>
      </c>
      <c r="R507" s="125">
        <v>2.0405453992311302</v>
      </c>
      <c r="S507" s="73">
        <f t="shared" si="72"/>
        <v>0.58868616504863547</v>
      </c>
      <c r="T507" t="s">
        <v>793</v>
      </c>
    </row>
    <row r="508" spans="1:20">
      <c r="A508" s="618" t="s">
        <v>752</v>
      </c>
      <c r="B508" s="618" t="s">
        <v>790</v>
      </c>
      <c r="C508" s="618" t="s">
        <v>901</v>
      </c>
      <c r="D508" s="631" t="s">
        <v>497</v>
      </c>
      <c r="E508" s="631" t="s">
        <v>792</v>
      </c>
      <c r="F508" s="628">
        <v>0.186</v>
      </c>
      <c r="G508" s="628">
        <v>0.48299999999999998</v>
      </c>
      <c r="H508" s="628"/>
      <c r="I508" s="626">
        <f t="shared" si="75"/>
        <v>15.193517999999999</v>
      </c>
      <c r="J508" s="628">
        <v>2</v>
      </c>
      <c r="K508" s="140">
        <f t="shared" si="66"/>
        <v>2.7299105401679999</v>
      </c>
      <c r="L508" s="140">
        <f t="shared" si="67"/>
        <v>2.7299105401679999</v>
      </c>
      <c r="M508" s="140">
        <f t="shared" si="68"/>
        <v>0</v>
      </c>
      <c r="N508" s="140">
        <f t="shared" si="69"/>
        <v>0</v>
      </c>
      <c r="O508" s="140">
        <f t="shared" si="70"/>
        <v>0</v>
      </c>
      <c r="P508" s="140">
        <f t="shared" si="71"/>
        <v>0</v>
      </c>
      <c r="Q508" s="156">
        <f t="shared" si="73"/>
        <v>31.003063253035361</v>
      </c>
      <c r="R508" s="125">
        <v>2.0405453992311302</v>
      </c>
      <c r="S508" s="73">
        <f t="shared" si="72"/>
        <v>5.5705063930523817</v>
      </c>
      <c r="T508" t="s">
        <v>793</v>
      </c>
    </row>
    <row r="509" spans="1:20">
      <c r="A509" s="618" t="s">
        <v>752</v>
      </c>
      <c r="B509" s="618" t="s">
        <v>790</v>
      </c>
      <c r="C509" s="618" t="s">
        <v>814</v>
      </c>
      <c r="D509" s="631" t="s">
        <v>497</v>
      </c>
      <c r="E509" s="631" t="s">
        <v>792</v>
      </c>
      <c r="F509" s="628">
        <v>0.153</v>
      </c>
      <c r="G509" s="628">
        <v>0.48899999999999999</v>
      </c>
      <c r="H509" s="628"/>
      <c r="I509" s="626">
        <f t="shared" si="75"/>
        <v>15.193517999999999</v>
      </c>
      <c r="J509" s="628">
        <v>2</v>
      </c>
      <c r="K509" s="140">
        <f t="shared" si="66"/>
        <v>2.2734668724119995</v>
      </c>
      <c r="L509" s="140">
        <f t="shared" si="67"/>
        <v>2.2734668724119995</v>
      </c>
      <c r="M509" s="140">
        <f t="shared" si="68"/>
        <v>0</v>
      </c>
      <c r="N509" s="140">
        <f t="shared" si="69"/>
        <v>0</v>
      </c>
      <c r="O509" s="140">
        <f t="shared" si="70"/>
        <v>0</v>
      </c>
      <c r="P509" s="140">
        <f t="shared" si="71"/>
        <v>0</v>
      </c>
      <c r="Q509" s="156">
        <f t="shared" si="73"/>
        <v>31.003063253035361</v>
      </c>
      <c r="R509" s="125">
        <v>2.0405453992311302</v>
      </c>
      <c r="S509" s="73">
        <f t="shared" si="72"/>
        <v>4.6391123668046923</v>
      </c>
      <c r="T509" t="s">
        <v>793</v>
      </c>
    </row>
    <row r="510" spans="1:20">
      <c r="A510" s="618" t="s">
        <v>752</v>
      </c>
      <c r="B510" s="618" t="s">
        <v>794</v>
      </c>
      <c r="C510" s="618" t="s">
        <v>880</v>
      </c>
      <c r="D510" s="631" t="s">
        <v>515</v>
      </c>
      <c r="E510" s="633" t="s">
        <v>792</v>
      </c>
      <c r="F510" s="628"/>
      <c r="G510" s="628">
        <v>0.878</v>
      </c>
      <c r="H510" s="628"/>
      <c r="I510" s="626">
        <f t="shared" si="75"/>
        <v>15.193517999999999</v>
      </c>
      <c r="J510" s="628">
        <v>2</v>
      </c>
      <c r="K510" s="140">
        <f t="shared" si="66"/>
        <v>26.679817607999997</v>
      </c>
      <c r="L510" s="140">
        <f t="shared" si="67"/>
        <v>0</v>
      </c>
      <c r="M510" s="140">
        <f t="shared" si="68"/>
        <v>0</v>
      </c>
      <c r="N510" s="140">
        <f t="shared" si="69"/>
        <v>0</v>
      </c>
      <c r="O510" s="140">
        <f t="shared" si="70"/>
        <v>26.679817607999997</v>
      </c>
      <c r="P510" s="140">
        <f t="shared" si="71"/>
        <v>0</v>
      </c>
      <c r="Q510" s="156">
        <f t="shared" si="73"/>
        <v>33.253285585916984</v>
      </c>
      <c r="R510" s="157">
        <v>2.1886495007882298</v>
      </c>
      <c r="S510" s="73">
        <f t="shared" si="72"/>
        <v>58.392769488870215</v>
      </c>
      <c r="T510" t="s">
        <v>793</v>
      </c>
    </row>
    <row r="511" spans="1:20">
      <c r="A511" s="618" t="s">
        <v>752</v>
      </c>
      <c r="B511" s="618" t="s">
        <v>790</v>
      </c>
      <c r="C511" s="618" t="s">
        <v>909</v>
      </c>
      <c r="D511" s="631" t="s">
        <v>497</v>
      </c>
      <c r="E511" s="631" t="s">
        <v>792</v>
      </c>
      <c r="F511" s="628">
        <v>0.61</v>
      </c>
      <c r="G511" s="628">
        <v>1.125</v>
      </c>
      <c r="H511" s="628"/>
      <c r="I511" s="626">
        <f t="shared" si="75"/>
        <v>15.193517999999999</v>
      </c>
      <c r="J511" s="628">
        <v>1</v>
      </c>
      <c r="K511" s="140">
        <f t="shared" si="66"/>
        <v>10.4265517275</v>
      </c>
      <c r="L511" s="140">
        <f t="shared" si="67"/>
        <v>10.4265517275</v>
      </c>
      <c r="M511" s="140">
        <f t="shared" si="68"/>
        <v>0</v>
      </c>
      <c r="N511" s="140">
        <f t="shared" si="69"/>
        <v>0</v>
      </c>
      <c r="O511" s="140">
        <f t="shared" si="70"/>
        <v>0</v>
      </c>
      <c r="P511" s="140">
        <f t="shared" si="71"/>
        <v>0</v>
      </c>
      <c r="Q511" s="156">
        <f t="shared" si="73"/>
        <v>31.003063253035361</v>
      </c>
      <c r="R511" s="125">
        <v>2.0405453992311302</v>
      </c>
      <c r="S511" s="73">
        <f t="shared" si="72"/>
        <v>21.275852157395516</v>
      </c>
      <c r="T511" t="s">
        <v>793</v>
      </c>
    </row>
    <row r="512" spans="1:20">
      <c r="A512" s="618" t="s">
        <v>752</v>
      </c>
      <c r="B512" s="618" t="s">
        <v>790</v>
      </c>
      <c r="C512" s="618" t="s">
        <v>814</v>
      </c>
      <c r="D512" s="631" t="s">
        <v>497</v>
      </c>
      <c r="E512" s="631" t="s">
        <v>792</v>
      </c>
      <c r="F512" s="628">
        <v>0.30499999999999999</v>
      </c>
      <c r="G512" s="628">
        <v>1.125</v>
      </c>
      <c r="H512" s="628"/>
      <c r="I512" s="626">
        <f t="shared" si="75"/>
        <v>15.193517999999999</v>
      </c>
      <c r="J512" s="628">
        <v>2</v>
      </c>
      <c r="K512" s="140">
        <f t="shared" si="66"/>
        <v>10.4265517275</v>
      </c>
      <c r="L512" s="140">
        <f t="shared" si="67"/>
        <v>10.4265517275</v>
      </c>
      <c r="M512" s="140">
        <f t="shared" si="68"/>
        <v>0</v>
      </c>
      <c r="N512" s="140">
        <f t="shared" si="69"/>
        <v>0</v>
      </c>
      <c r="O512" s="140">
        <f t="shared" si="70"/>
        <v>0</v>
      </c>
      <c r="P512" s="140">
        <f t="shared" si="71"/>
        <v>0</v>
      </c>
      <c r="Q512" s="156">
        <f t="shared" si="73"/>
        <v>31.003063253035361</v>
      </c>
      <c r="R512" s="125">
        <v>2.0405453992311302</v>
      </c>
      <c r="S512" s="73">
        <f t="shared" si="72"/>
        <v>21.275852157395516</v>
      </c>
      <c r="T512" t="s">
        <v>793</v>
      </c>
    </row>
    <row r="513" spans="1:20">
      <c r="A513" s="618" t="s">
        <v>752</v>
      </c>
      <c r="B513" s="618" t="s">
        <v>790</v>
      </c>
      <c r="C513" s="618" t="s">
        <v>814</v>
      </c>
      <c r="D513" s="631" t="s">
        <v>497</v>
      </c>
      <c r="E513" s="631" t="s">
        <v>792</v>
      </c>
      <c r="F513" s="628">
        <v>0.95199999999999996</v>
      </c>
      <c r="G513" s="628">
        <v>1.339</v>
      </c>
      <c r="H513" s="628"/>
      <c r="I513" s="626">
        <f t="shared" si="75"/>
        <v>15.193517999999999</v>
      </c>
      <c r="J513" s="628">
        <v>1</v>
      </c>
      <c r="K513" s="140">
        <f t="shared" si="66"/>
        <v>19.367602813103996</v>
      </c>
      <c r="L513" s="140">
        <f t="shared" si="67"/>
        <v>19.367602813103996</v>
      </c>
      <c r="M513" s="140">
        <f t="shared" si="68"/>
        <v>0</v>
      </c>
      <c r="N513" s="140">
        <f t="shared" si="69"/>
        <v>0</v>
      </c>
      <c r="O513" s="140">
        <f t="shared" si="70"/>
        <v>0</v>
      </c>
      <c r="P513" s="140">
        <f t="shared" si="71"/>
        <v>0</v>
      </c>
      <c r="Q513" s="156">
        <f t="shared" si="73"/>
        <v>31.003063253035361</v>
      </c>
      <c r="R513" s="125">
        <v>2.0405453992311302</v>
      </c>
      <c r="S513" s="73">
        <f t="shared" si="72"/>
        <v>39.520472814415257</v>
      </c>
      <c r="T513" t="s">
        <v>793</v>
      </c>
    </row>
    <row r="514" spans="1:20">
      <c r="A514" s="618" t="s">
        <v>752</v>
      </c>
      <c r="B514" s="618" t="s">
        <v>790</v>
      </c>
      <c r="C514" s="618" t="s">
        <v>814</v>
      </c>
      <c r="D514" s="631" t="s">
        <v>497</v>
      </c>
      <c r="E514" s="631" t="s">
        <v>792</v>
      </c>
      <c r="F514" s="628">
        <v>0.876</v>
      </c>
      <c r="G514" s="628">
        <v>1.2629999999999999</v>
      </c>
      <c r="H514" s="628"/>
      <c r="I514" s="626">
        <f t="shared" si="75"/>
        <v>15.193517999999999</v>
      </c>
      <c r="J514" s="628">
        <v>1</v>
      </c>
      <c r="K514" s="140">
        <f t="shared" si="66"/>
        <v>16.809925992983999</v>
      </c>
      <c r="L514" s="140">
        <f t="shared" si="67"/>
        <v>16.809925992983999</v>
      </c>
      <c r="M514" s="140">
        <f t="shared" si="68"/>
        <v>0</v>
      </c>
      <c r="N514" s="140">
        <f t="shared" si="69"/>
        <v>0</v>
      </c>
      <c r="O514" s="140">
        <f t="shared" si="70"/>
        <v>0</v>
      </c>
      <c r="P514" s="140">
        <f t="shared" si="71"/>
        <v>0</v>
      </c>
      <c r="Q514" s="156">
        <f t="shared" si="73"/>
        <v>31.003063253035361</v>
      </c>
      <c r="R514" s="125">
        <v>2.0405453992311302</v>
      </c>
      <c r="S514" s="73">
        <f t="shared" si="72"/>
        <v>34.301417146399288</v>
      </c>
      <c r="T514" t="s">
        <v>793</v>
      </c>
    </row>
    <row r="515" spans="1:20">
      <c r="A515" s="618" t="s">
        <v>752</v>
      </c>
      <c r="B515" s="618" t="s">
        <v>790</v>
      </c>
      <c r="C515" s="618" t="s">
        <v>791</v>
      </c>
      <c r="D515" s="631" t="s">
        <v>497</v>
      </c>
      <c r="E515" s="631" t="s">
        <v>792</v>
      </c>
      <c r="F515" s="627">
        <v>1.17</v>
      </c>
      <c r="G515" s="627">
        <v>3.923</v>
      </c>
      <c r="H515" s="627"/>
      <c r="I515" s="626">
        <f t="shared" si="75"/>
        <v>15.193517999999999</v>
      </c>
      <c r="J515" s="627">
        <v>1</v>
      </c>
      <c r="K515" s="140">
        <f t="shared" ref="K515:K578" si="76">PRODUCT(F515:J515)</f>
        <v>69.736880203379997</v>
      </c>
      <c r="L515" s="140">
        <f t="shared" ref="L515:L578" si="77">IF(B515="Lámina",K515,0)</f>
        <v>69.736880203379997</v>
      </c>
      <c r="M515" s="140">
        <f t="shared" ref="M515:M578" si="78">IF(B515="Tubería",K515,0)</f>
        <v>0</v>
      </c>
      <c r="N515" s="140">
        <f t="shared" ref="N515:N578" si="79">IF(B515="Accesorio",K515,0)</f>
        <v>0</v>
      </c>
      <c r="O515" s="140">
        <f t="shared" ref="O515:O578" si="80">IF(B515="Perfil",K515,0)</f>
        <v>0</v>
      </c>
      <c r="P515" s="140">
        <f t="shared" ref="P515:P578" si="81">IF(B515="Tornillería",K515,0)</f>
        <v>0</v>
      </c>
      <c r="Q515" s="156">
        <f t="shared" si="73"/>
        <v>31.003063253035361</v>
      </c>
      <c r="R515" s="125">
        <v>2.0405453992311302</v>
      </c>
      <c r="S515" s="73">
        <f t="shared" ref="S515:S578" si="82">R515*K515</f>
        <v>142.30127005573954</v>
      </c>
      <c r="T515" t="s">
        <v>793</v>
      </c>
    </row>
    <row r="516" spans="1:20">
      <c r="A516" s="618" t="s">
        <v>752</v>
      </c>
      <c r="B516" s="618" t="s">
        <v>790</v>
      </c>
      <c r="C516" s="618" t="s">
        <v>791</v>
      </c>
      <c r="D516" s="631" t="s">
        <v>497</v>
      </c>
      <c r="E516" s="631" t="s">
        <v>792</v>
      </c>
      <c r="F516" s="627"/>
      <c r="G516" s="627"/>
      <c r="H516" s="627">
        <f>(0.608*0.608*3.1416/4)</f>
        <v>0.2903341056</v>
      </c>
      <c r="I516" s="626">
        <f t="shared" si="75"/>
        <v>15.193517999999999</v>
      </c>
      <c r="J516" s="627">
        <v>1</v>
      </c>
      <c r="K516" s="140">
        <f t="shared" si="76"/>
        <v>4.4111964594475008</v>
      </c>
      <c r="L516" s="140">
        <f t="shared" si="77"/>
        <v>4.4111964594475008</v>
      </c>
      <c r="M516" s="140">
        <f t="shared" si="78"/>
        <v>0</v>
      </c>
      <c r="N516" s="140">
        <f t="shared" si="79"/>
        <v>0</v>
      </c>
      <c r="O516" s="140">
        <f t="shared" si="80"/>
        <v>0</v>
      </c>
      <c r="P516" s="140">
        <f t="shared" si="81"/>
        <v>0</v>
      </c>
      <c r="Q516" s="156">
        <f t="shared" si="73"/>
        <v>31.003063253035361</v>
      </c>
      <c r="R516" s="125">
        <v>2.0405453992311302</v>
      </c>
      <c r="S516" s="73">
        <f t="shared" si="82"/>
        <v>9.0012466404302494</v>
      </c>
      <c r="T516" t="s">
        <v>793</v>
      </c>
    </row>
    <row r="517" spans="1:20">
      <c r="A517" s="618" t="s">
        <v>752</v>
      </c>
      <c r="B517" s="618" t="s">
        <v>815</v>
      </c>
      <c r="C517" s="618" t="s">
        <v>850</v>
      </c>
      <c r="D517" s="631" t="s">
        <v>515</v>
      </c>
      <c r="E517" s="631" t="s">
        <v>817</v>
      </c>
      <c r="F517" s="628"/>
      <c r="G517" s="628">
        <v>4.3719999999999999</v>
      </c>
      <c r="H517" s="628"/>
      <c r="I517" s="626">
        <v>117.02</v>
      </c>
      <c r="J517" s="628">
        <v>1</v>
      </c>
      <c r="K517" s="140">
        <f t="shared" si="76"/>
        <v>511.61143999999996</v>
      </c>
      <c r="L517" s="140">
        <f t="shared" si="77"/>
        <v>0</v>
      </c>
      <c r="M517" s="140">
        <f t="shared" si="78"/>
        <v>511.61143999999996</v>
      </c>
      <c r="N517" s="140">
        <f t="shared" si="79"/>
        <v>0</v>
      </c>
      <c r="O517" s="140">
        <f t="shared" si="80"/>
        <v>0</v>
      </c>
      <c r="P517" s="140">
        <f t="shared" si="81"/>
        <v>0</v>
      </c>
      <c r="Q517" s="156">
        <f t="shared" si="73"/>
        <v>349.67642143983159</v>
      </c>
      <c r="R517" s="125">
        <v>2.98817656332107</v>
      </c>
      <c r="S517" s="73">
        <f t="shared" si="82"/>
        <v>1528.7853145349436</v>
      </c>
      <c r="T517" t="s">
        <v>793</v>
      </c>
    </row>
    <row r="518" spans="1:20">
      <c r="A518" s="618" t="s">
        <v>752</v>
      </c>
      <c r="B518" s="618" t="s">
        <v>815</v>
      </c>
      <c r="C518" s="618" t="s">
        <v>850</v>
      </c>
      <c r="D518" s="631" t="s">
        <v>515</v>
      </c>
      <c r="E518" s="631" t="s">
        <v>817</v>
      </c>
      <c r="F518" s="628"/>
      <c r="G518" s="628">
        <v>5.875</v>
      </c>
      <c r="H518" s="628"/>
      <c r="I518" s="626">
        <v>117.02</v>
      </c>
      <c r="J518" s="628">
        <v>1</v>
      </c>
      <c r="K518" s="140">
        <f t="shared" si="76"/>
        <v>687.49249999999995</v>
      </c>
      <c r="L518" s="140">
        <f t="shared" si="77"/>
        <v>0</v>
      </c>
      <c r="M518" s="140">
        <f t="shared" si="78"/>
        <v>687.49249999999995</v>
      </c>
      <c r="N518" s="140">
        <f t="shared" si="79"/>
        <v>0</v>
      </c>
      <c r="O518" s="140">
        <f t="shared" si="80"/>
        <v>0</v>
      </c>
      <c r="P518" s="140">
        <f t="shared" si="81"/>
        <v>0</v>
      </c>
      <c r="Q518" s="156">
        <f t="shared" si="73"/>
        <v>349.67642143983159</v>
      </c>
      <c r="R518" s="125">
        <v>2.98817656332107</v>
      </c>
      <c r="S518" s="73">
        <f t="shared" si="82"/>
        <v>2054.3489759590107</v>
      </c>
      <c r="T518" t="s">
        <v>793</v>
      </c>
    </row>
    <row r="519" spans="1:20">
      <c r="A519" s="618" t="s">
        <v>752</v>
      </c>
      <c r="B519" s="618" t="s">
        <v>815</v>
      </c>
      <c r="C519" s="618" t="s">
        <v>850</v>
      </c>
      <c r="D519" s="631" t="s">
        <v>515</v>
      </c>
      <c r="E519" s="631" t="s">
        <v>817</v>
      </c>
      <c r="F519" s="628"/>
      <c r="G519" s="628">
        <v>5.7750000000000004</v>
      </c>
      <c r="H519" s="628"/>
      <c r="I519" s="626">
        <v>117.02</v>
      </c>
      <c r="J519" s="628">
        <v>1</v>
      </c>
      <c r="K519" s="140">
        <f t="shared" si="76"/>
        <v>675.79050000000007</v>
      </c>
      <c r="L519" s="140">
        <f t="shared" si="77"/>
        <v>0</v>
      </c>
      <c r="M519" s="140">
        <f t="shared" si="78"/>
        <v>675.79050000000007</v>
      </c>
      <c r="N519" s="140">
        <f t="shared" si="79"/>
        <v>0</v>
      </c>
      <c r="O519" s="140">
        <f t="shared" si="80"/>
        <v>0</v>
      </c>
      <c r="P519" s="140">
        <f t="shared" si="81"/>
        <v>0</v>
      </c>
      <c r="Q519" s="156">
        <f t="shared" si="73"/>
        <v>349.67642143983159</v>
      </c>
      <c r="R519" s="125">
        <v>2.98817656332107</v>
      </c>
      <c r="S519" s="73">
        <f t="shared" si="82"/>
        <v>2019.3813338150278</v>
      </c>
      <c r="T519" t="s">
        <v>793</v>
      </c>
    </row>
    <row r="520" spans="1:20">
      <c r="A520" s="618" t="s">
        <v>753</v>
      </c>
      <c r="B520" s="618" t="s">
        <v>818</v>
      </c>
      <c r="C520" s="618" t="s">
        <v>949</v>
      </c>
      <c r="D520" s="631" t="s">
        <v>513</v>
      </c>
      <c r="E520" s="631" t="s">
        <v>799</v>
      </c>
      <c r="F520" s="630"/>
      <c r="G520" s="630">
        <v>1</v>
      </c>
      <c r="H520" s="630"/>
      <c r="I520" s="626">
        <v>3.5219999999999998</v>
      </c>
      <c r="J520" s="630">
        <v>2</v>
      </c>
      <c r="K520" s="140">
        <f t="shared" si="76"/>
        <v>7.0439999999999996</v>
      </c>
      <c r="L520" s="140">
        <f t="shared" si="77"/>
        <v>0</v>
      </c>
      <c r="M520" s="140">
        <f t="shared" si="78"/>
        <v>0</v>
      </c>
      <c r="N520" s="140">
        <f t="shared" si="79"/>
        <v>7.0439999999999996</v>
      </c>
      <c r="O520" s="140">
        <f t="shared" si="80"/>
        <v>0</v>
      </c>
      <c r="P520" s="140">
        <f t="shared" si="81"/>
        <v>0</v>
      </c>
      <c r="Q520" s="156">
        <f t="shared" si="73"/>
        <v>19.618076720966897</v>
      </c>
      <c r="R520" s="125">
        <v>5.5701523909616402</v>
      </c>
      <c r="S520" s="73">
        <f t="shared" si="82"/>
        <v>39.236153441933794</v>
      </c>
      <c r="T520" t="s">
        <v>793</v>
      </c>
    </row>
    <row r="521" spans="1:20">
      <c r="A521" s="618" t="s">
        <v>753</v>
      </c>
      <c r="B521" s="618" t="s">
        <v>815</v>
      </c>
      <c r="C521" s="618" t="s">
        <v>895</v>
      </c>
      <c r="D521" s="631" t="s">
        <v>515</v>
      </c>
      <c r="E521" s="631" t="s">
        <v>817</v>
      </c>
      <c r="F521" s="628"/>
      <c r="G521" s="628">
        <v>0.374</v>
      </c>
      <c r="H521" s="628"/>
      <c r="I521" s="626">
        <v>11.29</v>
      </c>
      <c r="J521" s="630">
        <v>2</v>
      </c>
      <c r="K521" s="140">
        <f t="shared" si="76"/>
        <v>8.4449199999999998</v>
      </c>
      <c r="L521" s="140">
        <f t="shared" si="77"/>
        <v>0</v>
      </c>
      <c r="M521" s="140">
        <f t="shared" si="78"/>
        <v>8.4449199999999998</v>
      </c>
      <c r="N521" s="140">
        <f t="shared" si="79"/>
        <v>0</v>
      </c>
      <c r="O521" s="140">
        <f t="shared" si="80"/>
        <v>0</v>
      </c>
      <c r="P521" s="140">
        <f t="shared" si="81"/>
        <v>0</v>
      </c>
      <c r="Q521" s="156">
        <f t="shared" si="73"/>
        <v>33.736513399894875</v>
      </c>
      <c r="R521" s="125">
        <v>2.98817656332107</v>
      </c>
      <c r="S521" s="73">
        <f t="shared" si="82"/>
        <v>25.234912023121371</v>
      </c>
      <c r="T521" t="s">
        <v>793</v>
      </c>
    </row>
    <row r="522" spans="1:20">
      <c r="A522" s="618" t="s">
        <v>753</v>
      </c>
      <c r="B522" s="618" t="s">
        <v>790</v>
      </c>
      <c r="C522" s="618" t="s">
        <v>923</v>
      </c>
      <c r="D522" s="631" t="s">
        <v>497</v>
      </c>
      <c r="E522" s="631" t="s">
        <v>792</v>
      </c>
      <c r="F522" s="628">
        <v>0.26500000000000001</v>
      </c>
      <c r="G522" s="628">
        <v>0.308</v>
      </c>
      <c r="H522" s="628"/>
      <c r="I522" s="626">
        <f>12*0.0254*7850*0.25*0.0254</f>
        <v>15.193517999999999</v>
      </c>
      <c r="J522" s="630">
        <v>2</v>
      </c>
      <c r="K522" s="140">
        <f t="shared" si="76"/>
        <v>2.4801898783199996</v>
      </c>
      <c r="L522" s="140">
        <f t="shared" si="77"/>
        <v>2.4801898783199996</v>
      </c>
      <c r="M522" s="140">
        <f t="shared" si="78"/>
        <v>0</v>
      </c>
      <c r="N522" s="140">
        <f t="shared" si="79"/>
        <v>0</v>
      </c>
      <c r="O522" s="140">
        <f t="shared" si="80"/>
        <v>0</v>
      </c>
      <c r="P522" s="140">
        <f t="shared" si="81"/>
        <v>0</v>
      </c>
      <c r="Q522" s="156">
        <f t="shared" si="73"/>
        <v>31.003063253035361</v>
      </c>
      <c r="R522" s="125">
        <v>2.0405453992311302</v>
      </c>
      <c r="S522" s="73">
        <f t="shared" si="82"/>
        <v>5.0609400454254923</v>
      </c>
      <c r="T522" t="s">
        <v>793</v>
      </c>
    </row>
    <row r="523" spans="1:20">
      <c r="A523" s="618" t="s">
        <v>753</v>
      </c>
      <c r="B523" s="618" t="s">
        <v>818</v>
      </c>
      <c r="C523" s="618" t="s">
        <v>950</v>
      </c>
      <c r="D523" s="631" t="s">
        <v>513</v>
      </c>
      <c r="E523" s="631" t="s">
        <v>799</v>
      </c>
      <c r="F523" s="628"/>
      <c r="G523" s="628">
        <v>1</v>
      </c>
      <c r="H523" s="628"/>
      <c r="I523" s="626">
        <v>19.05</v>
      </c>
      <c r="J523" s="630">
        <v>2</v>
      </c>
      <c r="K523" s="140">
        <f t="shared" si="76"/>
        <v>38.1</v>
      </c>
      <c r="L523" s="140">
        <f t="shared" si="77"/>
        <v>0</v>
      </c>
      <c r="M523" s="140">
        <f t="shared" si="78"/>
        <v>0</v>
      </c>
      <c r="N523" s="140">
        <f t="shared" si="79"/>
        <v>38.1</v>
      </c>
      <c r="O523" s="140">
        <f t="shared" si="80"/>
        <v>0</v>
      </c>
      <c r="P523" s="140">
        <f t="shared" si="81"/>
        <v>0</v>
      </c>
      <c r="Q523" s="156">
        <f t="shared" si="73"/>
        <v>103.30846032580132</v>
      </c>
      <c r="R523" s="125">
        <v>5.4230162900683103</v>
      </c>
      <c r="S523" s="73">
        <f t="shared" si="82"/>
        <v>206.61692065160264</v>
      </c>
      <c r="T523" t="s">
        <v>793</v>
      </c>
    </row>
    <row r="524" spans="1:20">
      <c r="A524" s="618" t="s">
        <v>753</v>
      </c>
      <c r="B524" s="618" t="s">
        <v>815</v>
      </c>
      <c r="C524" s="618" t="s">
        <v>951</v>
      </c>
      <c r="D524" s="631" t="s">
        <v>515</v>
      </c>
      <c r="E524" s="631" t="s">
        <v>817</v>
      </c>
      <c r="F524" s="628"/>
      <c r="G524" s="628">
        <v>0.374</v>
      </c>
      <c r="H524" s="628"/>
      <c r="I524" s="626">
        <v>64.64</v>
      </c>
      <c r="J524" s="630">
        <v>2</v>
      </c>
      <c r="K524" s="140">
        <f t="shared" si="76"/>
        <v>48.350720000000003</v>
      </c>
      <c r="L524" s="140">
        <f t="shared" si="77"/>
        <v>0</v>
      </c>
      <c r="M524" s="140">
        <f t="shared" si="78"/>
        <v>48.350720000000003</v>
      </c>
      <c r="N524" s="140">
        <f t="shared" si="79"/>
        <v>0</v>
      </c>
      <c r="O524" s="140">
        <f t="shared" si="80"/>
        <v>0</v>
      </c>
      <c r="P524" s="140">
        <f t="shared" si="81"/>
        <v>0</v>
      </c>
      <c r="Q524" s="156">
        <f t="shared" si="73"/>
        <v>193.15573305307396</v>
      </c>
      <c r="R524" s="125">
        <v>2.98817656332107</v>
      </c>
      <c r="S524" s="73">
        <f t="shared" si="82"/>
        <v>144.48048832369932</v>
      </c>
      <c r="T524" t="s">
        <v>793</v>
      </c>
    </row>
    <row r="525" spans="1:20">
      <c r="A525" s="618" t="s">
        <v>753</v>
      </c>
      <c r="B525" s="618" t="s">
        <v>790</v>
      </c>
      <c r="C525" s="618" t="s">
        <v>923</v>
      </c>
      <c r="D525" s="631" t="s">
        <v>497</v>
      </c>
      <c r="E525" s="631" t="s">
        <v>792</v>
      </c>
      <c r="F525" s="628">
        <v>0.48499999999999999</v>
      </c>
      <c r="G525" s="628">
        <v>0.48299999999999998</v>
      </c>
      <c r="H525" s="628"/>
      <c r="I525" s="626">
        <f>12*0.0254*7850*0.25*0.0254</f>
        <v>15.193517999999999</v>
      </c>
      <c r="J525" s="630">
        <v>2</v>
      </c>
      <c r="K525" s="140">
        <f t="shared" si="76"/>
        <v>7.1183151181799991</v>
      </c>
      <c r="L525" s="140">
        <f t="shared" si="77"/>
        <v>7.1183151181799991</v>
      </c>
      <c r="M525" s="140">
        <f t="shared" si="78"/>
        <v>0</v>
      </c>
      <c r="N525" s="140">
        <f t="shared" si="79"/>
        <v>0</v>
      </c>
      <c r="O525" s="140">
        <f t="shared" si="80"/>
        <v>0</v>
      </c>
      <c r="P525" s="140">
        <f t="shared" si="81"/>
        <v>0</v>
      </c>
      <c r="Q525" s="156">
        <f t="shared" si="73"/>
        <v>31.003063253035361</v>
      </c>
      <c r="R525" s="125">
        <v>2.0405453992311302</v>
      </c>
      <c r="S525" s="73">
        <f t="shared" si="82"/>
        <v>14.525245164679596</v>
      </c>
      <c r="T525" t="s">
        <v>793</v>
      </c>
    </row>
    <row r="526" spans="1:20">
      <c r="A526" s="618" t="s">
        <v>753</v>
      </c>
      <c r="B526" s="618" t="s">
        <v>815</v>
      </c>
      <c r="C526" s="618" t="s">
        <v>951</v>
      </c>
      <c r="D526" s="631" t="s">
        <v>515</v>
      </c>
      <c r="E526" s="631" t="s">
        <v>817</v>
      </c>
      <c r="F526" s="628"/>
      <c r="G526" s="628">
        <v>0.17699999999999999</v>
      </c>
      <c r="H526" s="628"/>
      <c r="I526" s="626">
        <v>64.64</v>
      </c>
      <c r="J526" s="630">
        <v>4</v>
      </c>
      <c r="K526" s="140">
        <f t="shared" si="76"/>
        <v>45.765119999999996</v>
      </c>
      <c r="L526" s="140">
        <f t="shared" si="77"/>
        <v>0</v>
      </c>
      <c r="M526" s="140">
        <f t="shared" si="78"/>
        <v>45.765119999999996</v>
      </c>
      <c r="N526" s="140">
        <f t="shared" si="79"/>
        <v>0</v>
      </c>
      <c r="O526" s="140">
        <f t="shared" si="80"/>
        <v>0</v>
      </c>
      <c r="P526" s="140">
        <f t="shared" si="81"/>
        <v>0</v>
      </c>
      <c r="Q526" s="156">
        <f t="shared" si="73"/>
        <v>193.15573305307396</v>
      </c>
      <c r="R526" s="125">
        <v>2.98817656332107</v>
      </c>
      <c r="S526" s="73">
        <f t="shared" si="82"/>
        <v>136.75425900157634</v>
      </c>
      <c r="T526" t="s">
        <v>793</v>
      </c>
    </row>
    <row r="527" spans="1:20">
      <c r="A527" s="618" t="s">
        <v>753</v>
      </c>
      <c r="B527" s="618" t="s">
        <v>818</v>
      </c>
      <c r="C527" s="618" t="s">
        <v>952</v>
      </c>
      <c r="D527" s="631" t="s">
        <v>513</v>
      </c>
      <c r="E527" s="631" t="s">
        <v>799</v>
      </c>
      <c r="F527" s="628"/>
      <c r="G527" s="628">
        <v>1</v>
      </c>
      <c r="H527" s="628"/>
      <c r="I527" s="626">
        <v>2.72</v>
      </c>
      <c r="J527" s="630">
        <v>6</v>
      </c>
      <c r="K527" s="140">
        <f t="shared" si="76"/>
        <v>16.32</v>
      </c>
      <c r="L527" s="140">
        <f t="shared" si="77"/>
        <v>0</v>
      </c>
      <c r="M527" s="140">
        <f t="shared" si="78"/>
        <v>0</v>
      </c>
      <c r="N527" s="140">
        <f t="shared" si="79"/>
        <v>16.32</v>
      </c>
      <c r="O527" s="140">
        <f t="shared" si="80"/>
        <v>0</v>
      </c>
      <c r="P527" s="140">
        <f t="shared" si="81"/>
        <v>0</v>
      </c>
      <c r="Q527" s="156">
        <f t="shared" si="73"/>
        <v>15.150814503415662</v>
      </c>
      <c r="R527" s="125">
        <v>5.5701523909616402</v>
      </c>
      <c r="S527" s="73">
        <f t="shared" si="82"/>
        <v>90.904887020493973</v>
      </c>
      <c r="T527" t="s">
        <v>793</v>
      </c>
    </row>
    <row r="528" spans="1:20">
      <c r="A528" s="618" t="s">
        <v>753</v>
      </c>
      <c r="B528" s="618" t="s">
        <v>815</v>
      </c>
      <c r="C528" s="618" t="s">
        <v>872</v>
      </c>
      <c r="D528" s="631" t="s">
        <v>515</v>
      </c>
      <c r="E528" s="631" t="s">
        <v>817</v>
      </c>
      <c r="F528" s="628"/>
      <c r="G528" s="628">
        <v>0.188</v>
      </c>
      <c r="H528" s="628"/>
      <c r="I528" s="626">
        <v>7.48</v>
      </c>
      <c r="J528" s="630">
        <v>2</v>
      </c>
      <c r="K528" s="140">
        <f t="shared" si="76"/>
        <v>2.8124800000000003</v>
      </c>
      <c r="L528" s="140">
        <f t="shared" si="77"/>
        <v>0</v>
      </c>
      <c r="M528" s="140">
        <f t="shared" si="78"/>
        <v>2.8124800000000003</v>
      </c>
      <c r="N528" s="140">
        <f t="shared" si="79"/>
        <v>0</v>
      </c>
      <c r="O528" s="140">
        <f t="shared" si="80"/>
        <v>0</v>
      </c>
      <c r="P528" s="140">
        <f t="shared" si="81"/>
        <v>0</v>
      </c>
      <c r="Q528" s="156">
        <f t="shared" si="73"/>
        <v>29.09849710982656</v>
      </c>
      <c r="R528" s="125">
        <v>3.8901734104046199</v>
      </c>
      <c r="S528" s="73">
        <f t="shared" si="82"/>
        <v>10.941034913294788</v>
      </c>
      <c r="T528" t="s">
        <v>793</v>
      </c>
    </row>
    <row r="529" spans="1:20">
      <c r="A529" s="618" t="s">
        <v>753</v>
      </c>
      <c r="B529" s="618" t="s">
        <v>818</v>
      </c>
      <c r="C529" s="618" t="s">
        <v>953</v>
      </c>
      <c r="D529" s="631" t="s">
        <v>513</v>
      </c>
      <c r="E529" s="631" t="s">
        <v>799</v>
      </c>
      <c r="F529" s="628"/>
      <c r="G529" s="628">
        <v>1</v>
      </c>
      <c r="H529" s="628"/>
      <c r="I529" s="626">
        <v>195.04</v>
      </c>
      <c r="J529" s="630">
        <v>2</v>
      </c>
      <c r="K529" s="140">
        <f t="shared" si="76"/>
        <v>390.08</v>
      </c>
      <c r="L529" s="140">
        <f t="shared" si="77"/>
        <v>0</v>
      </c>
      <c r="M529" s="140">
        <f t="shared" si="78"/>
        <v>0</v>
      </c>
      <c r="N529" s="140">
        <f t="shared" si="79"/>
        <v>390.08</v>
      </c>
      <c r="O529" s="140">
        <f t="shared" si="80"/>
        <v>0</v>
      </c>
      <c r="P529" s="140">
        <f t="shared" si="81"/>
        <v>0</v>
      </c>
      <c r="Q529" s="156">
        <f t="shared" si="73"/>
        <v>1057.7050972149232</v>
      </c>
      <c r="R529" s="125">
        <v>5.4230162900683103</v>
      </c>
      <c r="S529" s="73">
        <f t="shared" si="82"/>
        <v>2115.4101944298463</v>
      </c>
      <c r="T529" t="s">
        <v>793</v>
      </c>
    </row>
    <row r="530" spans="1:20">
      <c r="A530" s="618" t="s">
        <v>753</v>
      </c>
      <c r="B530" s="618" t="s">
        <v>797</v>
      </c>
      <c r="C530" s="618" t="s">
        <v>954</v>
      </c>
      <c r="D530" s="631" t="s">
        <v>513</v>
      </c>
      <c r="E530" s="631" t="s">
        <v>799</v>
      </c>
      <c r="F530" s="628"/>
      <c r="G530" s="628"/>
      <c r="H530" s="628"/>
      <c r="I530" s="626">
        <v>0.4</v>
      </c>
      <c r="J530" s="630">
        <v>80</v>
      </c>
      <c r="K530" s="140">
        <f t="shared" si="76"/>
        <v>32</v>
      </c>
      <c r="L530" s="140">
        <f t="shared" si="77"/>
        <v>0</v>
      </c>
      <c r="M530" s="140">
        <f t="shared" si="78"/>
        <v>0</v>
      </c>
      <c r="N530" s="140">
        <f t="shared" si="79"/>
        <v>0</v>
      </c>
      <c r="O530" s="140">
        <f t="shared" si="80"/>
        <v>0</v>
      </c>
      <c r="P530" s="140">
        <f t="shared" si="81"/>
        <v>32</v>
      </c>
      <c r="Q530" s="156">
        <f t="shared" si="73"/>
        <v>1.2853389385181282</v>
      </c>
      <c r="R530" s="125">
        <v>3.2133473462953202</v>
      </c>
      <c r="S530" s="73">
        <f t="shared" si="82"/>
        <v>102.82711508145024</v>
      </c>
      <c r="T530" t="s">
        <v>793</v>
      </c>
    </row>
    <row r="531" spans="1:20">
      <c r="A531" s="618" t="s">
        <v>753</v>
      </c>
      <c r="B531" s="618" t="s">
        <v>797</v>
      </c>
      <c r="C531" s="618" t="s">
        <v>955</v>
      </c>
      <c r="D531" s="631" t="s">
        <v>513</v>
      </c>
      <c r="E531" s="631" t="s">
        <v>799</v>
      </c>
      <c r="F531" s="628"/>
      <c r="G531" s="628"/>
      <c r="H531" s="628"/>
      <c r="I531" s="626">
        <v>2</v>
      </c>
      <c r="J531" s="630">
        <v>40</v>
      </c>
      <c r="K531" s="140">
        <f t="shared" si="76"/>
        <v>80</v>
      </c>
      <c r="L531" s="140">
        <f t="shared" si="77"/>
        <v>0</v>
      </c>
      <c r="M531" s="140">
        <f t="shared" si="78"/>
        <v>0</v>
      </c>
      <c r="N531" s="140">
        <f t="shared" si="79"/>
        <v>0</v>
      </c>
      <c r="O531" s="140">
        <f t="shared" si="80"/>
        <v>0</v>
      </c>
      <c r="P531" s="140">
        <f t="shared" si="81"/>
        <v>80</v>
      </c>
      <c r="Q531" s="156">
        <f t="shared" si="73"/>
        <v>6.4266946925906403</v>
      </c>
      <c r="R531" s="125">
        <v>3.2133473462953202</v>
      </c>
      <c r="S531" s="73">
        <f t="shared" si="82"/>
        <v>257.06778770362564</v>
      </c>
      <c r="T531" t="s">
        <v>793</v>
      </c>
    </row>
    <row r="532" spans="1:20">
      <c r="A532" s="618" t="s">
        <v>753</v>
      </c>
      <c r="B532" s="618" t="s">
        <v>797</v>
      </c>
      <c r="C532" s="618" t="s">
        <v>956</v>
      </c>
      <c r="D532" s="631" t="s">
        <v>513</v>
      </c>
      <c r="E532" s="631" t="s">
        <v>799</v>
      </c>
      <c r="F532" s="628"/>
      <c r="G532" s="628">
        <v>1</v>
      </c>
      <c r="H532" s="628"/>
      <c r="I532" s="626">
        <v>1</v>
      </c>
      <c r="J532" s="630">
        <v>2</v>
      </c>
      <c r="K532" s="140">
        <f t="shared" si="76"/>
        <v>2</v>
      </c>
      <c r="L532" s="140">
        <f t="shared" si="77"/>
        <v>0</v>
      </c>
      <c r="M532" s="140">
        <f t="shared" si="78"/>
        <v>0</v>
      </c>
      <c r="N532" s="140">
        <f t="shared" si="79"/>
        <v>0</v>
      </c>
      <c r="O532" s="140">
        <f t="shared" si="80"/>
        <v>0</v>
      </c>
      <c r="P532" s="140">
        <f t="shared" si="81"/>
        <v>2</v>
      </c>
      <c r="Q532" s="156">
        <f t="shared" si="73"/>
        <v>3.2133473462953202</v>
      </c>
      <c r="R532" s="125">
        <v>3.2133473462953202</v>
      </c>
      <c r="S532" s="73">
        <f t="shared" si="82"/>
        <v>6.4266946925906403</v>
      </c>
      <c r="T532" t="s">
        <v>800</v>
      </c>
    </row>
    <row r="533" spans="1:20">
      <c r="A533" s="618" t="s">
        <v>753</v>
      </c>
      <c r="B533" s="618" t="s">
        <v>818</v>
      </c>
      <c r="C533" s="618" t="s">
        <v>957</v>
      </c>
      <c r="D533" s="631" t="s">
        <v>513</v>
      </c>
      <c r="E533" s="631" t="s">
        <v>799</v>
      </c>
      <c r="F533" s="628"/>
      <c r="G533" s="628">
        <v>1</v>
      </c>
      <c r="H533" s="628"/>
      <c r="I533" s="626">
        <v>121.56</v>
      </c>
      <c r="J533" s="630">
        <v>8</v>
      </c>
      <c r="K533" s="140">
        <f t="shared" si="76"/>
        <v>972.48</v>
      </c>
      <c r="L533" s="140">
        <f t="shared" si="77"/>
        <v>0</v>
      </c>
      <c r="M533" s="140">
        <f t="shared" si="78"/>
        <v>0</v>
      </c>
      <c r="N533" s="140">
        <f t="shared" si="79"/>
        <v>972.48</v>
      </c>
      <c r="O533" s="140">
        <f t="shared" si="80"/>
        <v>0</v>
      </c>
      <c r="P533" s="140">
        <f t="shared" si="81"/>
        <v>0</v>
      </c>
      <c r="Q533" s="156">
        <f t="shared" si="73"/>
        <v>659.22186022070377</v>
      </c>
      <c r="R533" s="125">
        <v>5.4230162900683103</v>
      </c>
      <c r="S533" s="73">
        <f t="shared" si="82"/>
        <v>5273.7748817656302</v>
      </c>
      <c r="T533" t="s">
        <v>800</v>
      </c>
    </row>
    <row r="534" spans="1:20">
      <c r="A534" s="618" t="s">
        <v>753</v>
      </c>
      <c r="B534" s="618" t="s">
        <v>815</v>
      </c>
      <c r="C534" s="618" t="s">
        <v>958</v>
      </c>
      <c r="D534" s="631" t="s">
        <v>515</v>
      </c>
      <c r="E534" s="631" t="s">
        <v>817</v>
      </c>
      <c r="F534" s="628"/>
      <c r="G534" s="628">
        <v>0.57799999999999996</v>
      </c>
      <c r="H534" s="628"/>
      <c r="I534" s="626">
        <v>186.94</v>
      </c>
      <c r="J534" s="630">
        <v>5</v>
      </c>
      <c r="K534" s="140">
        <f t="shared" si="76"/>
        <v>540.25659999999993</v>
      </c>
      <c r="L534" s="140">
        <f t="shared" si="77"/>
        <v>0</v>
      </c>
      <c r="M534" s="140">
        <f t="shared" si="78"/>
        <v>540.25659999999993</v>
      </c>
      <c r="N534" s="140">
        <f t="shared" si="79"/>
        <v>0</v>
      </c>
      <c r="O534" s="140">
        <f t="shared" si="80"/>
        <v>0</v>
      </c>
      <c r="P534" s="140">
        <f t="shared" si="81"/>
        <v>0</v>
      </c>
      <c r="Q534" s="156">
        <f t="shared" si="73"/>
        <v>558.60972674724076</v>
      </c>
      <c r="R534" s="125">
        <v>2.98817656332107</v>
      </c>
      <c r="S534" s="73">
        <f t="shared" si="82"/>
        <v>1614.3821102995257</v>
      </c>
      <c r="T534" t="s">
        <v>800</v>
      </c>
    </row>
    <row r="535" spans="1:20">
      <c r="A535" s="618" t="s">
        <v>753</v>
      </c>
      <c r="B535" s="618" t="s">
        <v>790</v>
      </c>
      <c r="C535" s="618" t="s">
        <v>923</v>
      </c>
      <c r="D535" s="631" t="s">
        <v>497</v>
      </c>
      <c r="E535" s="631" t="s">
        <v>792</v>
      </c>
      <c r="F535" s="629">
        <v>1.2569999999999999</v>
      </c>
      <c r="G535" s="628">
        <v>1.2569999999999999</v>
      </c>
      <c r="H535" s="628"/>
      <c r="I535" s="626">
        <f>12*0.0254*7850*0.25*0.0254</f>
        <v>15.193517999999999</v>
      </c>
      <c r="J535" s="628">
        <v>5</v>
      </c>
      <c r="K535" s="140">
        <f t="shared" si="76"/>
        <v>120.03251461190999</v>
      </c>
      <c r="L535" s="140">
        <f t="shared" si="77"/>
        <v>120.03251461190999</v>
      </c>
      <c r="M535" s="140">
        <f t="shared" si="78"/>
        <v>0</v>
      </c>
      <c r="N535" s="140">
        <f t="shared" si="79"/>
        <v>0</v>
      </c>
      <c r="O535" s="140">
        <f t="shared" si="80"/>
        <v>0</v>
      </c>
      <c r="P535" s="140">
        <f t="shared" si="81"/>
        <v>0</v>
      </c>
      <c r="Q535" s="156">
        <f t="shared" si="73"/>
        <v>31.003063253035361</v>
      </c>
      <c r="R535" s="125">
        <v>2.0405453992311302</v>
      </c>
      <c r="S535" s="73">
        <f t="shared" si="82"/>
        <v>244.93179544947634</v>
      </c>
      <c r="T535" t="s">
        <v>793</v>
      </c>
    </row>
    <row r="536" spans="1:20">
      <c r="A536" s="618" t="s">
        <v>753</v>
      </c>
      <c r="B536" s="618" t="s">
        <v>790</v>
      </c>
      <c r="C536" s="618" t="s">
        <v>923</v>
      </c>
      <c r="D536" s="631" t="s">
        <v>497</v>
      </c>
      <c r="E536" s="631" t="s">
        <v>792</v>
      </c>
      <c r="F536" s="628">
        <v>0.247</v>
      </c>
      <c r="G536" s="628">
        <v>0.219</v>
      </c>
      <c r="H536" s="628"/>
      <c r="I536" s="626">
        <f>12*0.0254*7850*0.25*0.0254</f>
        <v>15.193517999999999</v>
      </c>
      <c r="J536" s="628">
        <v>1</v>
      </c>
      <c r="K536" s="140">
        <f t="shared" si="76"/>
        <v>0.82186296917400004</v>
      </c>
      <c r="L536" s="140">
        <f t="shared" si="77"/>
        <v>0.82186296917400004</v>
      </c>
      <c r="M536" s="140">
        <f t="shared" si="78"/>
        <v>0</v>
      </c>
      <c r="N536" s="140">
        <f t="shared" si="79"/>
        <v>0</v>
      </c>
      <c r="O536" s="140">
        <f t="shared" si="80"/>
        <v>0</v>
      </c>
      <c r="P536" s="140">
        <f t="shared" si="81"/>
        <v>0</v>
      </c>
      <c r="Q536" s="156">
        <f t="shared" si="73"/>
        <v>31.003063253035361</v>
      </c>
      <c r="R536" s="125">
        <v>2.0405453992311302</v>
      </c>
      <c r="S536" s="73">
        <f t="shared" si="82"/>
        <v>1.6770487005464421</v>
      </c>
      <c r="T536" t="s">
        <v>793</v>
      </c>
    </row>
    <row r="537" spans="1:20">
      <c r="A537" s="618" t="s">
        <v>753</v>
      </c>
      <c r="B537" s="618" t="s">
        <v>790</v>
      </c>
      <c r="C537" s="618" t="s">
        <v>923</v>
      </c>
      <c r="D537" s="631" t="s">
        <v>497</v>
      </c>
      <c r="E537" s="631" t="s">
        <v>792</v>
      </c>
      <c r="F537" s="628">
        <v>0.29399999999999998</v>
      </c>
      <c r="G537" s="628">
        <v>0.2</v>
      </c>
      <c r="H537" s="628"/>
      <c r="I537" s="626">
        <f>12*0.0254*7850*0.25*0.0254</f>
        <v>15.193517999999999</v>
      </c>
      <c r="J537" s="628">
        <v>1</v>
      </c>
      <c r="K537" s="140">
        <f t="shared" si="76"/>
        <v>0.89337885839999998</v>
      </c>
      <c r="L537" s="140">
        <f t="shared" si="77"/>
        <v>0.89337885839999998</v>
      </c>
      <c r="M537" s="140">
        <f t="shared" si="78"/>
        <v>0</v>
      </c>
      <c r="N537" s="140">
        <f t="shared" si="79"/>
        <v>0</v>
      </c>
      <c r="O537" s="140">
        <f t="shared" si="80"/>
        <v>0</v>
      </c>
      <c r="P537" s="140">
        <f t="shared" si="81"/>
        <v>0</v>
      </c>
      <c r="Q537" s="156">
        <f t="shared" si="73"/>
        <v>31.003063253035361</v>
      </c>
      <c r="R537" s="125">
        <v>2.0405453992311302</v>
      </c>
      <c r="S537" s="73">
        <f t="shared" si="82"/>
        <v>1.8229801192784794</v>
      </c>
      <c r="T537" t="s">
        <v>793</v>
      </c>
    </row>
    <row r="538" spans="1:20">
      <c r="A538" s="618" t="s">
        <v>753</v>
      </c>
      <c r="B538" s="618" t="s">
        <v>790</v>
      </c>
      <c r="C538" s="618" t="s">
        <v>923</v>
      </c>
      <c r="D538" s="631" t="s">
        <v>497</v>
      </c>
      <c r="E538" s="631" t="s">
        <v>792</v>
      </c>
      <c r="F538" s="628">
        <v>0.3</v>
      </c>
      <c r="G538" s="628">
        <v>0.36599999999999999</v>
      </c>
      <c r="H538" s="628"/>
      <c r="I538" s="626">
        <f>12*0.0254*7850*0.25*0.0254</f>
        <v>15.193517999999999</v>
      </c>
      <c r="J538" s="628">
        <v>1</v>
      </c>
      <c r="K538" s="140">
        <f t="shared" si="76"/>
        <v>1.6682482763999997</v>
      </c>
      <c r="L538" s="140">
        <f t="shared" si="77"/>
        <v>1.6682482763999997</v>
      </c>
      <c r="M538" s="140">
        <f t="shared" si="78"/>
        <v>0</v>
      </c>
      <c r="N538" s="140">
        <f t="shared" si="79"/>
        <v>0</v>
      </c>
      <c r="O538" s="140">
        <f t="shared" si="80"/>
        <v>0</v>
      </c>
      <c r="P538" s="140">
        <f t="shared" si="81"/>
        <v>0</v>
      </c>
      <c r="Q538" s="156">
        <f t="shared" si="73"/>
        <v>31.003063253035361</v>
      </c>
      <c r="R538" s="125">
        <v>2.0405453992311302</v>
      </c>
      <c r="S538" s="73">
        <f t="shared" si="82"/>
        <v>3.4041363451832822</v>
      </c>
      <c r="T538" t="s">
        <v>793</v>
      </c>
    </row>
    <row r="539" spans="1:20">
      <c r="A539" s="618" t="s">
        <v>753</v>
      </c>
      <c r="B539" s="618" t="s">
        <v>818</v>
      </c>
      <c r="C539" s="618" t="s">
        <v>959</v>
      </c>
      <c r="D539" s="631" t="s">
        <v>513</v>
      </c>
      <c r="E539" s="631" t="s">
        <v>799</v>
      </c>
      <c r="F539" s="628"/>
      <c r="G539" s="628">
        <v>1</v>
      </c>
      <c r="H539" s="628"/>
      <c r="I539" s="626">
        <v>181.44</v>
      </c>
      <c r="J539" s="628">
        <v>1</v>
      </c>
      <c r="K539" s="140">
        <f t="shared" si="76"/>
        <v>181.44</v>
      </c>
      <c r="L539" s="140">
        <f t="shared" si="77"/>
        <v>0</v>
      </c>
      <c r="M539" s="140">
        <f t="shared" si="78"/>
        <v>0</v>
      </c>
      <c r="N539" s="140">
        <f t="shared" si="79"/>
        <v>181.44</v>
      </c>
      <c r="O539" s="140">
        <f t="shared" si="80"/>
        <v>0</v>
      </c>
      <c r="P539" s="140">
        <f t="shared" si="81"/>
        <v>0</v>
      </c>
      <c r="Q539" s="156">
        <f t="shared" si="73"/>
        <v>983.9520756699942</v>
      </c>
      <c r="R539" s="125">
        <v>5.4230162900683103</v>
      </c>
      <c r="S539" s="73">
        <f t="shared" si="82"/>
        <v>983.9520756699942</v>
      </c>
      <c r="T539" t="s">
        <v>793</v>
      </c>
    </row>
    <row r="540" spans="1:20">
      <c r="A540" s="618" t="s">
        <v>753</v>
      </c>
      <c r="B540" s="618" t="s">
        <v>815</v>
      </c>
      <c r="C540" s="618" t="s">
        <v>960</v>
      </c>
      <c r="D540" s="631" t="s">
        <v>515</v>
      </c>
      <c r="E540" s="631" t="s">
        <v>817</v>
      </c>
      <c r="F540" s="628"/>
      <c r="G540" s="628">
        <v>0.51</v>
      </c>
      <c r="H540" s="628"/>
      <c r="I540" s="626">
        <v>36.81</v>
      </c>
      <c r="J540" s="628">
        <v>1</v>
      </c>
      <c r="K540" s="140">
        <f t="shared" si="76"/>
        <v>18.773100000000003</v>
      </c>
      <c r="L540" s="140">
        <f t="shared" si="77"/>
        <v>0</v>
      </c>
      <c r="M540" s="140">
        <f t="shared" si="78"/>
        <v>18.773100000000003</v>
      </c>
      <c r="N540" s="140">
        <f t="shared" si="79"/>
        <v>0</v>
      </c>
      <c r="O540" s="140">
        <f t="shared" si="80"/>
        <v>0</v>
      </c>
      <c r="P540" s="140">
        <f t="shared" si="81"/>
        <v>0</v>
      </c>
      <c r="Q540" s="156">
        <f t="shared" ref="Q540:Q603" si="83">I540*R540</f>
        <v>109.99477929584859</v>
      </c>
      <c r="R540" s="125">
        <v>2.98817656332107</v>
      </c>
      <c r="S540" s="73">
        <f t="shared" si="82"/>
        <v>56.097337440882789</v>
      </c>
      <c r="T540" t="s">
        <v>793</v>
      </c>
    </row>
    <row r="541" spans="1:20">
      <c r="A541" s="618" t="s">
        <v>753</v>
      </c>
      <c r="B541" s="618" t="s">
        <v>790</v>
      </c>
      <c r="C541" s="618" t="s">
        <v>923</v>
      </c>
      <c r="D541" s="631" t="s">
        <v>497</v>
      </c>
      <c r="E541" s="631" t="s">
        <v>792</v>
      </c>
      <c r="F541" s="628">
        <v>1.5429999999999999</v>
      </c>
      <c r="G541" s="628">
        <v>1.5429999999999999</v>
      </c>
      <c r="H541" s="628"/>
      <c r="I541" s="626">
        <f>12*0.0254*7850*0.25*0.0254</f>
        <v>15.193517999999999</v>
      </c>
      <c r="J541" s="628">
        <v>1</v>
      </c>
      <c r="K541" s="140">
        <f t="shared" si="76"/>
        <v>36.173472136781996</v>
      </c>
      <c r="L541" s="140">
        <f t="shared" si="77"/>
        <v>36.173472136781996</v>
      </c>
      <c r="M541" s="140">
        <f t="shared" si="78"/>
        <v>0</v>
      </c>
      <c r="N541" s="140">
        <f t="shared" si="79"/>
        <v>0</v>
      </c>
      <c r="O541" s="140">
        <f t="shared" si="80"/>
        <v>0</v>
      </c>
      <c r="P541" s="140">
        <f t="shared" si="81"/>
        <v>0</v>
      </c>
      <c r="Q541" s="156">
        <f t="shared" si="83"/>
        <v>31.003063253035361</v>
      </c>
      <c r="R541" s="125">
        <v>2.0405453992311302</v>
      </c>
      <c r="S541" s="73">
        <f t="shared" si="82"/>
        <v>73.813612142925976</v>
      </c>
      <c r="T541" t="s">
        <v>793</v>
      </c>
    </row>
    <row r="542" spans="1:20">
      <c r="A542" s="618" t="s">
        <v>755</v>
      </c>
      <c r="B542" s="618" t="s">
        <v>790</v>
      </c>
      <c r="C542" s="618" t="s">
        <v>814</v>
      </c>
      <c r="D542" s="631" t="s">
        <v>497</v>
      </c>
      <c r="E542" s="631" t="s">
        <v>792</v>
      </c>
      <c r="F542" s="628"/>
      <c r="G542" s="628"/>
      <c r="H542" s="628">
        <f>0.19*0.19*3.1416/4</f>
        <v>2.835294E-2</v>
      </c>
      <c r="I542" s="626">
        <f>12*0.0254*7850*0.25*0.0254</f>
        <v>15.193517999999999</v>
      </c>
      <c r="J542" s="628">
        <v>6</v>
      </c>
      <c r="K542" s="140">
        <f t="shared" si="76"/>
        <v>2.5846854254575198</v>
      </c>
      <c r="L542" s="140">
        <f t="shared" si="77"/>
        <v>2.5846854254575198</v>
      </c>
      <c r="M542" s="140">
        <f t="shared" si="78"/>
        <v>0</v>
      </c>
      <c r="N542" s="140">
        <f t="shared" si="79"/>
        <v>0</v>
      </c>
      <c r="O542" s="140">
        <f t="shared" si="80"/>
        <v>0</v>
      </c>
      <c r="P542" s="140">
        <f t="shared" si="81"/>
        <v>0</v>
      </c>
      <c r="Q542" s="156">
        <f t="shared" si="83"/>
        <v>31.003063253035361</v>
      </c>
      <c r="R542" s="125">
        <v>2.0405453992311302</v>
      </c>
      <c r="S542" s="73">
        <f t="shared" si="82"/>
        <v>5.2741679533770984</v>
      </c>
      <c r="T542" t="s">
        <v>793</v>
      </c>
    </row>
    <row r="543" spans="1:20">
      <c r="A543" s="618" t="s">
        <v>755</v>
      </c>
      <c r="B543" s="618" t="s">
        <v>797</v>
      </c>
      <c r="C543" s="618" t="s">
        <v>873</v>
      </c>
      <c r="D543" s="631" t="s">
        <v>515</v>
      </c>
      <c r="E543" s="631" t="s">
        <v>792</v>
      </c>
      <c r="F543" s="628"/>
      <c r="G543" s="628">
        <v>0.152</v>
      </c>
      <c r="H543" s="628"/>
      <c r="I543" s="626">
        <v>2.2349999999999999</v>
      </c>
      <c r="J543" s="628">
        <v>6</v>
      </c>
      <c r="K543" s="140">
        <f t="shared" si="76"/>
        <v>2.0383199999999997</v>
      </c>
      <c r="L543" s="140">
        <f t="shared" si="77"/>
        <v>0</v>
      </c>
      <c r="M543" s="140">
        <f t="shared" si="78"/>
        <v>0</v>
      </c>
      <c r="N543" s="140">
        <f t="shared" si="79"/>
        <v>0</v>
      </c>
      <c r="O543" s="140">
        <f t="shared" si="80"/>
        <v>0</v>
      </c>
      <c r="P543" s="140">
        <f t="shared" si="81"/>
        <v>2.0383199999999997</v>
      </c>
      <c r="Q543" s="156">
        <f t="shared" si="83"/>
        <v>7.1818313189700405</v>
      </c>
      <c r="R543" s="125">
        <v>3.2133473462953202</v>
      </c>
      <c r="S543" s="73">
        <f t="shared" si="82"/>
        <v>6.5498301629006761</v>
      </c>
      <c r="T543" t="s">
        <v>793</v>
      </c>
    </row>
    <row r="544" spans="1:20">
      <c r="A544" s="618" t="s">
        <v>755</v>
      </c>
      <c r="B544" s="618" t="s">
        <v>815</v>
      </c>
      <c r="C544" s="618" t="s">
        <v>911</v>
      </c>
      <c r="D544" s="631" t="s">
        <v>515</v>
      </c>
      <c r="E544" s="631" t="s">
        <v>817</v>
      </c>
      <c r="F544" s="628"/>
      <c r="G544" s="628">
        <v>0.14799999999999999</v>
      </c>
      <c r="H544" s="628"/>
      <c r="I544" s="626">
        <v>28.26</v>
      </c>
      <c r="J544" s="628">
        <v>3</v>
      </c>
      <c r="K544" s="140">
        <f t="shared" si="76"/>
        <v>12.54744</v>
      </c>
      <c r="L544" s="140">
        <f t="shared" si="77"/>
        <v>0</v>
      </c>
      <c r="M544" s="140">
        <f t="shared" si="78"/>
        <v>12.54744</v>
      </c>
      <c r="N544" s="140">
        <f t="shared" si="79"/>
        <v>0</v>
      </c>
      <c r="O544" s="140">
        <f t="shared" si="80"/>
        <v>0</v>
      </c>
      <c r="P544" s="140">
        <f t="shared" si="81"/>
        <v>0</v>
      </c>
      <c r="Q544" s="156">
        <f t="shared" si="83"/>
        <v>84.445869679453438</v>
      </c>
      <c r="R544" s="125">
        <v>2.98817656332107</v>
      </c>
      <c r="S544" s="73">
        <f t="shared" si="82"/>
        <v>37.493966137677326</v>
      </c>
      <c r="T544" t="s">
        <v>793</v>
      </c>
    </row>
    <row r="545" spans="1:20">
      <c r="A545" s="618" t="s">
        <v>755</v>
      </c>
      <c r="B545" s="618" t="s">
        <v>818</v>
      </c>
      <c r="C545" s="618" t="s">
        <v>961</v>
      </c>
      <c r="D545" s="631" t="s">
        <v>513</v>
      </c>
      <c r="E545" s="631" t="s">
        <v>817</v>
      </c>
      <c r="F545" s="628"/>
      <c r="G545" s="628">
        <v>1</v>
      </c>
      <c r="H545" s="628"/>
      <c r="I545" s="626">
        <v>8</v>
      </c>
      <c r="J545" s="628">
        <v>3</v>
      </c>
      <c r="K545" s="140">
        <f t="shared" si="76"/>
        <v>24</v>
      </c>
      <c r="L545" s="140">
        <f t="shared" si="77"/>
        <v>0</v>
      </c>
      <c r="M545" s="140">
        <f t="shared" si="78"/>
        <v>0</v>
      </c>
      <c r="N545" s="140">
        <f t="shared" si="79"/>
        <v>24</v>
      </c>
      <c r="O545" s="140">
        <f t="shared" si="80"/>
        <v>0</v>
      </c>
      <c r="P545" s="140">
        <f t="shared" si="81"/>
        <v>0</v>
      </c>
      <c r="Q545" s="156">
        <f t="shared" si="83"/>
        <v>58.482396216500241</v>
      </c>
      <c r="R545" s="125">
        <v>7.3102995270625302</v>
      </c>
      <c r="S545" s="73">
        <f t="shared" si="82"/>
        <v>175.44718864950073</v>
      </c>
      <c r="T545" t="s">
        <v>793</v>
      </c>
    </row>
    <row r="546" spans="1:20">
      <c r="A546" s="618" t="s">
        <v>755</v>
      </c>
      <c r="B546" s="618" t="s">
        <v>815</v>
      </c>
      <c r="C546" s="618" t="s">
        <v>962</v>
      </c>
      <c r="D546" s="631" t="s">
        <v>515</v>
      </c>
      <c r="E546" s="631" t="s">
        <v>817</v>
      </c>
      <c r="F546" s="628"/>
      <c r="G546" s="628">
        <v>0.94899999999999995</v>
      </c>
      <c r="H546" s="628"/>
      <c r="I546" s="626">
        <v>42.56</v>
      </c>
      <c r="J546" s="628">
        <v>3</v>
      </c>
      <c r="K546" s="140">
        <f t="shared" si="76"/>
        <v>121.16831999999999</v>
      </c>
      <c r="L546" s="140">
        <f t="shared" si="77"/>
        <v>0</v>
      </c>
      <c r="M546" s="140">
        <f t="shared" si="78"/>
        <v>121.16831999999999</v>
      </c>
      <c r="N546" s="140">
        <f t="shared" si="79"/>
        <v>0</v>
      </c>
      <c r="O546" s="140">
        <f t="shared" si="80"/>
        <v>0</v>
      </c>
      <c r="P546" s="140">
        <f t="shared" si="81"/>
        <v>0</v>
      </c>
      <c r="Q546" s="156">
        <f t="shared" si="83"/>
        <v>127.17679453494475</v>
      </c>
      <c r="R546" s="125">
        <v>2.98817656332107</v>
      </c>
      <c r="S546" s="73">
        <f t="shared" si="82"/>
        <v>362.07233404098764</v>
      </c>
      <c r="T546" t="s">
        <v>793</v>
      </c>
    </row>
    <row r="547" spans="1:20">
      <c r="A547" s="618" t="s">
        <v>755</v>
      </c>
      <c r="B547" s="618" t="s">
        <v>790</v>
      </c>
      <c r="C547" s="618" t="s">
        <v>814</v>
      </c>
      <c r="D547" s="631" t="s">
        <v>497</v>
      </c>
      <c r="E547" s="631" t="s">
        <v>792</v>
      </c>
      <c r="F547" s="628"/>
      <c r="G547" s="628"/>
      <c r="H547" s="628">
        <f>0.254*0.254*3.1416*49.85/4</f>
        <v>2.5259426900399999</v>
      </c>
      <c r="I547" s="626">
        <f>12*0.0254*7850*0.25*0.0254</f>
        <v>15.193517999999999</v>
      </c>
      <c r="J547" s="628">
        <v>6</v>
      </c>
      <c r="K547" s="140">
        <f t="shared" si="76"/>
        <v>230.26773436854694</v>
      </c>
      <c r="L547" s="140">
        <f t="shared" si="77"/>
        <v>230.26773436854694</v>
      </c>
      <c r="M547" s="140">
        <f t="shared" si="78"/>
        <v>0</v>
      </c>
      <c r="N547" s="140">
        <f t="shared" si="79"/>
        <v>0</v>
      </c>
      <c r="O547" s="140">
        <f t="shared" si="80"/>
        <v>0</v>
      </c>
      <c r="P547" s="140">
        <f t="shared" si="81"/>
        <v>0</v>
      </c>
      <c r="Q547" s="156">
        <f t="shared" si="83"/>
        <v>31.003063253035361</v>
      </c>
      <c r="R547" s="125">
        <v>2.0405453992311302</v>
      </c>
      <c r="S547" s="73">
        <f t="shared" si="82"/>
        <v>469.87176595711446</v>
      </c>
      <c r="T547" t="s">
        <v>793</v>
      </c>
    </row>
    <row r="548" spans="1:20">
      <c r="A548" s="618" t="s">
        <v>755</v>
      </c>
      <c r="B548" s="618" t="s">
        <v>815</v>
      </c>
      <c r="C548" s="618" t="s">
        <v>911</v>
      </c>
      <c r="D548" s="631" t="s">
        <v>515</v>
      </c>
      <c r="E548" s="631" t="s">
        <v>817</v>
      </c>
      <c r="F548" s="628"/>
      <c r="G548" s="628">
        <v>7.5999999999999998E-2</v>
      </c>
      <c r="H548" s="628"/>
      <c r="I548" s="626">
        <v>28.26</v>
      </c>
      <c r="J548" s="628">
        <v>6</v>
      </c>
      <c r="K548" s="140">
        <f t="shared" si="76"/>
        <v>12.886559999999999</v>
      </c>
      <c r="L548" s="140">
        <f t="shared" si="77"/>
        <v>0</v>
      </c>
      <c r="M548" s="140">
        <f t="shared" si="78"/>
        <v>12.886559999999999</v>
      </c>
      <c r="N548" s="140">
        <f t="shared" si="79"/>
        <v>0</v>
      </c>
      <c r="O548" s="140">
        <f t="shared" si="80"/>
        <v>0</v>
      </c>
      <c r="P548" s="140">
        <f t="shared" si="81"/>
        <v>0</v>
      </c>
      <c r="Q548" s="156">
        <f t="shared" si="83"/>
        <v>84.445869679453438</v>
      </c>
      <c r="R548" s="125">
        <v>2.98817656332107</v>
      </c>
      <c r="S548" s="73">
        <f t="shared" si="82"/>
        <v>38.507316573830764</v>
      </c>
      <c r="T548" t="s">
        <v>793</v>
      </c>
    </row>
    <row r="549" spans="1:20">
      <c r="A549" s="618" t="s">
        <v>755</v>
      </c>
      <c r="B549" s="618" t="s">
        <v>815</v>
      </c>
      <c r="C549" s="618" t="s">
        <v>963</v>
      </c>
      <c r="D549" s="631" t="s">
        <v>515</v>
      </c>
      <c r="E549" s="631" t="s">
        <v>817</v>
      </c>
      <c r="F549" s="628"/>
      <c r="G549" s="628">
        <v>3.2000000000000001E-2</v>
      </c>
      <c r="H549" s="628"/>
      <c r="I549" s="626">
        <v>28.26</v>
      </c>
      <c r="J549" s="628">
        <v>6</v>
      </c>
      <c r="K549" s="140">
        <f t="shared" si="76"/>
        <v>5.4259200000000005</v>
      </c>
      <c r="L549" s="140">
        <f t="shared" si="77"/>
        <v>0</v>
      </c>
      <c r="M549" s="140">
        <f t="shared" si="78"/>
        <v>5.4259200000000005</v>
      </c>
      <c r="N549" s="140">
        <f t="shared" si="79"/>
        <v>0</v>
      </c>
      <c r="O549" s="140">
        <f t="shared" si="80"/>
        <v>0</v>
      </c>
      <c r="P549" s="140">
        <f t="shared" si="81"/>
        <v>0</v>
      </c>
      <c r="Q549" s="156">
        <f t="shared" si="83"/>
        <v>84.445869679453438</v>
      </c>
      <c r="R549" s="125">
        <v>2.98817656332107</v>
      </c>
      <c r="S549" s="73">
        <f t="shared" si="82"/>
        <v>16.213606978455061</v>
      </c>
      <c r="T549" t="s">
        <v>793</v>
      </c>
    </row>
    <row r="550" spans="1:20">
      <c r="A550" s="618" t="s">
        <v>755</v>
      </c>
      <c r="B550" s="618" t="s">
        <v>790</v>
      </c>
      <c r="C550" s="618" t="s">
        <v>814</v>
      </c>
      <c r="D550" s="631" t="s">
        <v>497</v>
      </c>
      <c r="E550" s="631" t="s">
        <v>792</v>
      </c>
      <c r="F550" s="628"/>
      <c r="G550" s="628"/>
      <c r="H550" s="628">
        <f>((0.203*0.203*3.1416/4)-(0.171*0.171*3.1416/4))</f>
        <v>9.3996671999999996E-3</v>
      </c>
      <c r="I550" s="626">
        <f>12*0.0254*7850*0.25*0.0254</f>
        <v>15.193517999999999</v>
      </c>
      <c r="J550" s="628">
        <v>6</v>
      </c>
      <c r="K550" s="140">
        <f t="shared" si="76"/>
        <v>0.85688407678325751</v>
      </c>
      <c r="L550" s="140">
        <f t="shared" si="77"/>
        <v>0.85688407678325751</v>
      </c>
      <c r="M550" s="140">
        <f t="shared" si="78"/>
        <v>0</v>
      </c>
      <c r="N550" s="140">
        <f t="shared" si="79"/>
        <v>0</v>
      </c>
      <c r="O550" s="140">
        <f t="shared" si="80"/>
        <v>0</v>
      </c>
      <c r="P550" s="140">
        <f t="shared" si="81"/>
        <v>0</v>
      </c>
      <c r="Q550" s="156">
        <f t="shared" si="83"/>
        <v>31.003063253035361</v>
      </c>
      <c r="R550" s="125">
        <v>2.0405453992311302</v>
      </c>
      <c r="S550" s="73">
        <f t="shared" si="82"/>
        <v>1.7485108605544906</v>
      </c>
      <c r="T550" t="s">
        <v>793</v>
      </c>
    </row>
    <row r="551" spans="1:20">
      <c r="A551" s="618" t="s">
        <v>755</v>
      </c>
      <c r="B551" s="618" t="s">
        <v>815</v>
      </c>
      <c r="C551" s="618" t="s">
        <v>962</v>
      </c>
      <c r="D551" s="631" t="s">
        <v>515</v>
      </c>
      <c r="E551" s="631" t="s">
        <v>817</v>
      </c>
      <c r="F551" s="628"/>
      <c r="G551" s="628">
        <v>1.024</v>
      </c>
      <c r="H551" s="628"/>
      <c r="I551" s="626">
        <v>42.56</v>
      </c>
      <c r="J551" s="628">
        <v>3</v>
      </c>
      <c r="K551" s="140">
        <f t="shared" si="76"/>
        <v>130.74432000000002</v>
      </c>
      <c r="L551" s="140">
        <f t="shared" si="77"/>
        <v>0</v>
      </c>
      <c r="M551" s="140">
        <f t="shared" si="78"/>
        <v>130.74432000000002</v>
      </c>
      <c r="N551" s="140">
        <f t="shared" si="79"/>
        <v>0</v>
      </c>
      <c r="O551" s="140">
        <f t="shared" si="80"/>
        <v>0</v>
      </c>
      <c r="P551" s="140">
        <f t="shared" si="81"/>
        <v>0</v>
      </c>
      <c r="Q551" s="156">
        <f t="shared" si="83"/>
        <v>127.17679453494475</v>
      </c>
      <c r="R551" s="125">
        <v>2.98817656332107</v>
      </c>
      <c r="S551" s="73">
        <f t="shared" si="82"/>
        <v>390.68711281135029</v>
      </c>
      <c r="T551" t="s">
        <v>793</v>
      </c>
    </row>
    <row r="552" spans="1:20">
      <c r="A552" s="618" t="s">
        <v>755</v>
      </c>
      <c r="B552" s="618" t="s">
        <v>790</v>
      </c>
      <c r="C552" s="618" t="s">
        <v>814</v>
      </c>
      <c r="D552" s="631" t="s">
        <v>497</v>
      </c>
      <c r="E552" s="631" t="s">
        <v>792</v>
      </c>
      <c r="F552" s="628"/>
      <c r="G552" s="628"/>
      <c r="H552" s="628">
        <f>((0.303*0.303*3.1416/4)-(0.205*0.205*3.1416/4))</f>
        <v>3.9100353600000005E-2</v>
      </c>
      <c r="I552" s="626">
        <f>12*0.0254*7850*0.25*0.0254</f>
        <v>15.193517999999999</v>
      </c>
      <c r="J552" s="628">
        <v>3</v>
      </c>
      <c r="K552" s="140">
        <f t="shared" si="76"/>
        <v>1.7822157786838946</v>
      </c>
      <c r="L552" s="140">
        <f t="shared" si="77"/>
        <v>1.7822157786838946</v>
      </c>
      <c r="M552" s="140">
        <f t="shared" si="78"/>
        <v>0</v>
      </c>
      <c r="N552" s="140">
        <f t="shared" si="79"/>
        <v>0</v>
      </c>
      <c r="O552" s="140">
        <f t="shared" si="80"/>
        <v>0</v>
      </c>
      <c r="P552" s="140">
        <f t="shared" si="81"/>
        <v>0</v>
      </c>
      <c r="Q552" s="156">
        <f t="shared" si="83"/>
        <v>31.003063253035361</v>
      </c>
      <c r="R552" s="125">
        <v>2.0405453992311302</v>
      </c>
      <c r="S552" s="73">
        <f t="shared" si="82"/>
        <v>3.6366922076305475</v>
      </c>
      <c r="T552" t="s">
        <v>793</v>
      </c>
    </row>
    <row r="553" spans="1:20">
      <c r="A553" s="618" t="s">
        <v>755</v>
      </c>
      <c r="B553" s="618" t="s">
        <v>790</v>
      </c>
      <c r="C553" s="618" t="s">
        <v>814</v>
      </c>
      <c r="D553" s="631" t="s">
        <v>497</v>
      </c>
      <c r="E553" s="631" t="s">
        <v>792</v>
      </c>
      <c r="F553" s="628"/>
      <c r="G553" s="628"/>
      <c r="H553" s="628">
        <f>((0.28*0.28*3.1416/4)-(0.171*0.171*3.1416/4))</f>
        <v>3.8609478600000011E-2</v>
      </c>
      <c r="I553" s="626">
        <f>12*0.0254*7850*0.25*0.0254</f>
        <v>15.193517999999999</v>
      </c>
      <c r="J553" s="628">
        <v>6</v>
      </c>
      <c r="K553" s="140">
        <f t="shared" si="76"/>
        <v>3.5196828484782898</v>
      </c>
      <c r="L553" s="140">
        <f t="shared" si="77"/>
        <v>3.5196828484782898</v>
      </c>
      <c r="M553" s="140">
        <f t="shared" si="78"/>
        <v>0</v>
      </c>
      <c r="N553" s="140">
        <f t="shared" si="79"/>
        <v>0</v>
      </c>
      <c r="O553" s="140">
        <f t="shared" si="80"/>
        <v>0</v>
      </c>
      <c r="P553" s="140">
        <f t="shared" si="81"/>
        <v>0</v>
      </c>
      <c r="Q553" s="156">
        <f t="shared" si="83"/>
        <v>31.003063253035361</v>
      </c>
      <c r="R553" s="125">
        <v>2.0405453992311302</v>
      </c>
      <c r="S553" s="73">
        <f t="shared" si="82"/>
        <v>7.1820726432150934</v>
      </c>
      <c r="T553" t="s">
        <v>793</v>
      </c>
    </row>
    <row r="554" spans="1:20">
      <c r="A554" s="618" t="s">
        <v>755</v>
      </c>
      <c r="B554" s="618" t="s">
        <v>797</v>
      </c>
      <c r="C554" s="618" t="s">
        <v>964</v>
      </c>
      <c r="D554" s="631" t="s">
        <v>513</v>
      </c>
      <c r="E554" s="631" t="s">
        <v>799</v>
      </c>
      <c r="F554" s="628"/>
      <c r="G554" s="628">
        <v>1</v>
      </c>
      <c r="H554" s="628"/>
      <c r="I554" s="626">
        <v>0.1</v>
      </c>
      <c r="J554" s="628">
        <v>1</v>
      </c>
      <c r="K554" s="140">
        <f t="shared" si="76"/>
        <v>0.1</v>
      </c>
      <c r="L554" s="140">
        <f t="shared" si="77"/>
        <v>0</v>
      </c>
      <c r="M554" s="140">
        <f t="shared" si="78"/>
        <v>0</v>
      </c>
      <c r="N554" s="140">
        <f t="shared" si="79"/>
        <v>0</v>
      </c>
      <c r="O554" s="140">
        <f t="shared" si="80"/>
        <v>0</v>
      </c>
      <c r="P554" s="140">
        <f t="shared" si="81"/>
        <v>0.1</v>
      </c>
      <c r="Q554" s="156">
        <f t="shared" si="83"/>
        <v>0.32133473462953205</v>
      </c>
      <c r="R554" s="125">
        <v>3.2133473462953202</v>
      </c>
      <c r="S554" s="73">
        <f t="shared" si="82"/>
        <v>0.32133473462953205</v>
      </c>
      <c r="T554" t="s">
        <v>793</v>
      </c>
    </row>
    <row r="555" spans="1:20">
      <c r="A555" s="618" t="s">
        <v>755</v>
      </c>
      <c r="B555" s="618" t="s">
        <v>790</v>
      </c>
      <c r="C555" s="618" t="s">
        <v>814</v>
      </c>
      <c r="D555" s="631" t="s">
        <v>497</v>
      </c>
      <c r="E555" s="631" t="s">
        <v>792</v>
      </c>
      <c r="F555" s="628"/>
      <c r="G555" s="628"/>
      <c r="H555" s="628">
        <f>0.5*0.5*3.1416*49.85/4</f>
        <v>9.7880474999999993</v>
      </c>
      <c r="I555" s="626">
        <f>12*0.0254*7850*0.25*0.0254</f>
        <v>15.193517999999999</v>
      </c>
      <c r="J555" s="628">
        <v>1</v>
      </c>
      <c r="K555" s="140">
        <f t="shared" si="76"/>
        <v>148.71487587610497</v>
      </c>
      <c r="L555" s="140">
        <f t="shared" si="77"/>
        <v>148.71487587610497</v>
      </c>
      <c r="M555" s="140">
        <f t="shared" si="78"/>
        <v>0</v>
      </c>
      <c r="N555" s="140">
        <f t="shared" si="79"/>
        <v>0</v>
      </c>
      <c r="O555" s="140">
        <f t="shared" si="80"/>
        <v>0</v>
      </c>
      <c r="P555" s="140">
        <f t="shared" si="81"/>
        <v>0</v>
      </c>
      <c r="Q555" s="156">
        <f t="shared" si="83"/>
        <v>31.003063253035361</v>
      </c>
      <c r="R555" s="125">
        <v>2.0405453992311302</v>
      </c>
      <c r="S555" s="73">
        <f t="shared" si="82"/>
        <v>303.4594557662146</v>
      </c>
      <c r="T555" t="s">
        <v>793</v>
      </c>
    </row>
    <row r="556" spans="1:20">
      <c r="A556" s="618" t="s">
        <v>755</v>
      </c>
      <c r="B556" s="618" t="s">
        <v>790</v>
      </c>
      <c r="C556" s="618" t="s">
        <v>814</v>
      </c>
      <c r="D556" s="631" t="s">
        <v>497</v>
      </c>
      <c r="E556" s="631" t="s">
        <v>792</v>
      </c>
      <c r="F556" s="628">
        <v>0.125</v>
      </c>
      <c r="G556" s="628">
        <v>0.15</v>
      </c>
      <c r="H556" s="628"/>
      <c r="I556" s="626">
        <f>12*0.0254*7850*0.25*0.0254</f>
        <v>15.193517999999999</v>
      </c>
      <c r="J556" s="628">
        <v>3</v>
      </c>
      <c r="K556" s="140">
        <f t="shared" si="76"/>
        <v>0.8546353874999999</v>
      </c>
      <c r="L556" s="140">
        <f t="shared" si="77"/>
        <v>0.8546353874999999</v>
      </c>
      <c r="M556" s="140">
        <f t="shared" si="78"/>
        <v>0</v>
      </c>
      <c r="N556" s="140">
        <f t="shared" si="79"/>
        <v>0</v>
      </c>
      <c r="O556" s="140">
        <f t="shared" si="80"/>
        <v>0</v>
      </c>
      <c r="P556" s="140">
        <f t="shared" si="81"/>
        <v>0</v>
      </c>
      <c r="Q556" s="156">
        <f t="shared" si="83"/>
        <v>31.003063253035361</v>
      </c>
      <c r="R556" s="125">
        <v>2.0405453992311302</v>
      </c>
      <c r="S556" s="73">
        <f t="shared" si="82"/>
        <v>1.7439223079832389</v>
      </c>
      <c r="T556" t="s">
        <v>800</v>
      </c>
    </row>
    <row r="557" spans="1:20">
      <c r="A557" s="618" t="s">
        <v>755</v>
      </c>
      <c r="B557" s="618" t="s">
        <v>790</v>
      </c>
      <c r="C557" s="618" t="s">
        <v>814</v>
      </c>
      <c r="D557" s="631" t="s">
        <v>497</v>
      </c>
      <c r="E557" s="631" t="s">
        <v>792</v>
      </c>
      <c r="F557" s="628"/>
      <c r="G557" s="628"/>
      <c r="H557" s="628">
        <f>((0.303*0.303*3.1416/4)-(0.205*0.205*3.1416/4))</f>
        <v>3.9100353600000005E-2</v>
      </c>
      <c r="I557" s="626">
        <f>12*0.0254*7850*0.25*0.0254</f>
        <v>15.193517999999999</v>
      </c>
      <c r="J557" s="628">
        <v>2</v>
      </c>
      <c r="K557" s="140">
        <f t="shared" si="76"/>
        <v>1.1881438524559298</v>
      </c>
      <c r="L557" s="140">
        <f t="shared" si="77"/>
        <v>1.1881438524559298</v>
      </c>
      <c r="M557" s="140">
        <f t="shared" si="78"/>
        <v>0</v>
      </c>
      <c r="N557" s="140">
        <f t="shared" si="79"/>
        <v>0</v>
      </c>
      <c r="O557" s="140">
        <f t="shared" si="80"/>
        <v>0</v>
      </c>
      <c r="P557" s="140">
        <f t="shared" si="81"/>
        <v>0</v>
      </c>
      <c r="Q557" s="156">
        <f t="shared" si="83"/>
        <v>31.003063253035361</v>
      </c>
      <c r="R557" s="125">
        <v>2.0405453992311302</v>
      </c>
      <c r="S557" s="73">
        <f t="shared" si="82"/>
        <v>2.4244614717536983</v>
      </c>
      <c r="T557" t="s">
        <v>793</v>
      </c>
    </row>
    <row r="558" spans="1:20">
      <c r="A558" s="618" t="s">
        <v>755</v>
      </c>
      <c r="B558" s="618" t="s">
        <v>797</v>
      </c>
      <c r="C558" s="618" t="s">
        <v>965</v>
      </c>
      <c r="D558" s="631" t="s">
        <v>513</v>
      </c>
      <c r="E558" s="631" t="s">
        <v>799</v>
      </c>
      <c r="F558" s="628"/>
      <c r="G558" s="628"/>
      <c r="H558" s="628"/>
      <c r="I558" s="626">
        <v>0.25</v>
      </c>
      <c r="J558" s="628">
        <v>24</v>
      </c>
      <c r="K558" s="140">
        <f t="shared" si="76"/>
        <v>6</v>
      </c>
      <c r="L558" s="140">
        <f t="shared" si="77"/>
        <v>0</v>
      </c>
      <c r="M558" s="140">
        <f t="shared" si="78"/>
        <v>0</v>
      </c>
      <c r="N558" s="140">
        <f t="shared" si="79"/>
        <v>0</v>
      </c>
      <c r="O558" s="140">
        <f t="shared" si="80"/>
        <v>0</v>
      </c>
      <c r="P558" s="140">
        <f t="shared" si="81"/>
        <v>6</v>
      </c>
      <c r="Q558" s="156">
        <f t="shared" si="83"/>
        <v>0.54716237519705746</v>
      </c>
      <c r="R558" s="125">
        <v>2.1886495007882298</v>
      </c>
      <c r="S558" s="73">
        <f t="shared" si="82"/>
        <v>13.131897004729378</v>
      </c>
      <c r="T558" t="s">
        <v>793</v>
      </c>
    </row>
    <row r="559" spans="1:20">
      <c r="A559" s="618" t="s">
        <v>755</v>
      </c>
      <c r="B559" s="618" t="s">
        <v>797</v>
      </c>
      <c r="C559" s="618" t="s">
        <v>966</v>
      </c>
      <c r="D559" s="631" t="s">
        <v>513</v>
      </c>
      <c r="E559" s="631" t="s">
        <v>799</v>
      </c>
      <c r="F559" s="628"/>
      <c r="G559" s="628">
        <v>0.05</v>
      </c>
      <c r="H559" s="628"/>
      <c r="I559" s="626">
        <f>0.077*0.077*4.1416*8830/4</f>
        <v>54.206368678000004</v>
      </c>
      <c r="J559" s="628">
        <v>2</v>
      </c>
      <c r="K559" s="140">
        <f t="shared" si="76"/>
        <v>5.4206368678000008</v>
      </c>
      <c r="L559" s="140">
        <f t="shared" si="77"/>
        <v>0</v>
      </c>
      <c r="M559" s="140">
        <f t="shared" si="78"/>
        <v>0</v>
      </c>
      <c r="N559" s="140">
        <f t="shared" si="79"/>
        <v>0</v>
      </c>
      <c r="O559" s="140">
        <f t="shared" si="80"/>
        <v>0</v>
      </c>
      <c r="P559" s="140">
        <f t="shared" si="81"/>
        <v>5.4206368678000008</v>
      </c>
      <c r="Q559" s="156">
        <f t="shared" si="83"/>
        <v>174.18389094375706</v>
      </c>
      <c r="R559" s="125">
        <v>3.2133473462953202</v>
      </c>
      <c r="S559" s="73">
        <f t="shared" si="82"/>
        <v>17.418389094375708</v>
      </c>
      <c r="T559" t="s">
        <v>793</v>
      </c>
    </row>
    <row r="560" spans="1:20">
      <c r="A560" s="618" t="s">
        <v>755</v>
      </c>
      <c r="B560" s="618" t="s">
        <v>815</v>
      </c>
      <c r="C560" s="618" t="s">
        <v>967</v>
      </c>
      <c r="D560" s="631" t="s">
        <v>515</v>
      </c>
      <c r="E560" s="631" t="s">
        <v>817</v>
      </c>
      <c r="F560" s="628"/>
      <c r="G560" s="628">
        <v>0.05</v>
      </c>
      <c r="H560" s="628"/>
      <c r="I560" s="626">
        <v>11.29</v>
      </c>
      <c r="J560" s="628">
        <v>2</v>
      </c>
      <c r="K560" s="140">
        <f t="shared" si="76"/>
        <v>1.129</v>
      </c>
      <c r="L560" s="140">
        <f t="shared" si="77"/>
        <v>0</v>
      </c>
      <c r="M560" s="140">
        <f t="shared" si="78"/>
        <v>1.129</v>
      </c>
      <c r="N560" s="140">
        <f t="shared" si="79"/>
        <v>0</v>
      </c>
      <c r="O560" s="140">
        <f t="shared" si="80"/>
        <v>0</v>
      </c>
      <c r="P560" s="140">
        <f t="shared" si="81"/>
        <v>0</v>
      </c>
      <c r="Q560" s="156">
        <f t="shared" si="83"/>
        <v>33.736513399894875</v>
      </c>
      <c r="R560" s="125">
        <v>2.98817656332107</v>
      </c>
      <c r="S560" s="73">
        <f t="shared" si="82"/>
        <v>3.3736513399894879</v>
      </c>
      <c r="T560" t="s">
        <v>800</v>
      </c>
    </row>
    <row r="561" spans="1:20">
      <c r="A561" s="618" t="s">
        <v>755</v>
      </c>
      <c r="B561" s="618" t="s">
        <v>794</v>
      </c>
      <c r="C561" s="618" t="s">
        <v>968</v>
      </c>
      <c r="D561" s="631" t="s">
        <v>513</v>
      </c>
      <c r="E561" s="631" t="s">
        <v>799</v>
      </c>
      <c r="F561" s="628"/>
      <c r="G561" s="628">
        <v>0.05</v>
      </c>
      <c r="H561" s="628"/>
      <c r="I561" s="626">
        <f>1.5*0.0254*7850*0.0254/4</f>
        <v>1.8991897499999999</v>
      </c>
      <c r="J561" s="628">
        <v>6</v>
      </c>
      <c r="K561" s="140">
        <f t="shared" si="76"/>
        <v>0.56975692499999997</v>
      </c>
      <c r="L561" s="140">
        <f t="shared" si="77"/>
        <v>0</v>
      </c>
      <c r="M561" s="140">
        <f t="shared" si="78"/>
        <v>0</v>
      </c>
      <c r="N561" s="140">
        <f t="shared" si="79"/>
        <v>0</v>
      </c>
      <c r="O561" s="140">
        <f t="shared" si="80"/>
        <v>0.56975692499999997</v>
      </c>
      <c r="P561" s="140">
        <f t="shared" si="81"/>
        <v>0</v>
      </c>
      <c r="Q561" s="156">
        <f t="shared" si="83"/>
        <v>4.156660698239623</v>
      </c>
      <c r="R561" s="125">
        <v>2.1886495007882298</v>
      </c>
      <c r="S561" s="73">
        <f t="shared" si="82"/>
        <v>1.2469982094718868</v>
      </c>
      <c r="T561" t="s">
        <v>800</v>
      </c>
    </row>
    <row r="562" spans="1:20">
      <c r="A562" s="618" t="s">
        <v>755</v>
      </c>
      <c r="B562" s="618" t="s">
        <v>815</v>
      </c>
      <c r="C562" s="618" t="s">
        <v>969</v>
      </c>
      <c r="D562" s="631" t="s">
        <v>515</v>
      </c>
      <c r="E562" s="631" t="s">
        <v>817</v>
      </c>
      <c r="F562" s="628"/>
      <c r="G562" s="628">
        <v>1</v>
      </c>
      <c r="H562" s="628"/>
      <c r="I562" s="626">
        <v>60.29</v>
      </c>
      <c r="J562" s="628">
        <v>1</v>
      </c>
      <c r="K562" s="140">
        <f t="shared" si="76"/>
        <v>60.29</v>
      </c>
      <c r="L562" s="140">
        <f t="shared" si="77"/>
        <v>0</v>
      </c>
      <c r="M562" s="140">
        <f t="shared" si="78"/>
        <v>60.29</v>
      </c>
      <c r="N562" s="140">
        <f t="shared" si="79"/>
        <v>0</v>
      </c>
      <c r="O562" s="140">
        <f t="shared" si="80"/>
        <v>0</v>
      </c>
      <c r="P562" s="140">
        <f t="shared" si="81"/>
        <v>0</v>
      </c>
      <c r="Q562" s="156">
        <f t="shared" si="83"/>
        <v>234.53855491329455</v>
      </c>
      <c r="R562" s="125">
        <v>3.8901734104046199</v>
      </c>
      <c r="S562" s="73">
        <f t="shared" si="82"/>
        <v>234.53855491329455</v>
      </c>
      <c r="T562" t="s">
        <v>793</v>
      </c>
    </row>
    <row r="563" spans="1:20">
      <c r="A563" s="618" t="s">
        <v>755</v>
      </c>
      <c r="B563" s="618" t="s">
        <v>790</v>
      </c>
      <c r="C563" s="618" t="s">
        <v>814</v>
      </c>
      <c r="D563" s="631" t="s">
        <v>497</v>
      </c>
      <c r="E563" s="631" t="s">
        <v>792</v>
      </c>
      <c r="F563" s="628"/>
      <c r="G563" s="628"/>
      <c r="H563" s="628">
        <f>0.55*0.55*3.1416*49.85/4</f>
        <v>11.843537475000002</v>
      </c>
      <c r="I563" s="626">
        <f>12*0.0254*7850*0.25*0.0254</f>
        <v>15.193517999999999</v>
      </c>
      <c r="J563" s="628">
        <v>1</v>
      </c>
      <c r="K563" s="140">
        <f t="shared" si="76"/>
        <v>179.94499981008707</v>
      </c>
      <c r="L563" s="140">
        <f t="shared" si="77"/>
        <v>179.94499981008707</v>
      </c>
      <c r="M563" s="140">
        <f t="shared" si="78"/>
        <v>0</v>
      </c>
      <c r="N563" s="140">
        <f t="shared" si="79"/>
        <v>0</v>
      </c>
      <c r="O563" s="140">
        <f t="shared" si="80"/>
        <v>0</v>
      </c>
      <c r="P563" s="140">
        <f t="shared" si="81"/>
        <v>0</v>
      </c>
      <c r="Q563" s="156">
        <f t="shared" si="83"/>
        <v>31.003063253035361</v>
      </c>
      <c r="R563" s="125">
        <v>2.0405453992311302</v>
      </c>
      <c r="S563" s="73">
        <f t="shared" si="82"/>
        <v>367.18594147711974</v>
      </c>
      <c r="T563" t="s">
        <v>793</v>
      </c>
    </row>
    <row r="564" spans="1:20">
      <c r="A564" s="618" t="s">
        <v>755</v>
      </c>
      <c r="B564" s="618" t="s">
        <v>797</v>
      </c>
      <c r="C564" s="618" t="s">
        <v>970</v>
      </c>
      <c r="D564" s="631" t="s">
        <v>513</v>
      </c>
      <c r="E564" s="631" t="s">
        <v>799</v>
      </c>
      <c r="F564" s="628"/>
      <c r="G564" s="628">
        <v>1</v>
      </c>
      <c r="H564" s="628"/>
      <c r="I564" s="626">
        <v>0.1</v>
      </c>
      <c r="J564" s="628">
        <v>2</v>
      </c>
      <c r="K564" s="140">
        <f t="shared" si="76"/>
        <v>0.2</v>
      </c>
      <c r="L564" s="140">
        <f t="shared" si="77"/>
        <v>0</v>
      </c>
      <c r="M564" s="140">
        <f t="shared" si="78"/>
        <v>0</v>
      </c>
      <c r="N564" s="140">
        <f t="shared" si="79"/>
        <v>0</v>
      </c>
      <c r="O564" s="140">
        <f t="shared" si="80"/>
        <v>0</v>
      </c>
      <c r="P564" s="140">
        <f t="shared" si="81"/>
        <v>0.2</v>
      </c>
      <c r="Q564" s="156">
        <f t="shared" si="83"/>
        <v>0.32133473462953205</v>
      </c>
      <c r="R564" s="125">
        <v>3.2133473462953202</v>
      </c>
      <c r="S564" s="73">
        <f t="shared" si="82"/>
        <v>0.6426694692590641</v>
      </c>
      <c r="T564" t="s">
        <v>793</v>
      </c>
    </row>
    <row r="565" spans="1:20">
      <c r="A565" s="618" t="s">
        <v>755</v>
      </c>
      <c r="B565" s="618" t="s">
        <v>797</v>
      </c>
      <c r="C565" s="618" t="s">
        <v>893</v>
      </c>
      <c r="D565" s="631" t="s">
        <v>515</v>
      </c>
      <c r="E565" s="631" t="s">
        <v>792</v>
      </c>
      <c r="F565" s="628"/>
      <c r="G565" s="628">
        <v>0.1</v>
      </c>
      <c r="H565" s="628"/>
      <c r="I565" s="626">
        <v>0.56000000000000005</v>
      </c>
      <c r="J565" s="628">
        <v>1</v>
      </c>
      <c r="K565" s="140">
        <f t="shared" si="76"/>
        <v>5.6000000000000008E-2</v>
      </c>
      <c r="L565" s="140">
        <f t="shared" si="77"/>
        <v>0</v>
      </c>
      <c r="M565" s="140">
        <f t="shared" si="78"/>
        <v>0</v>
      </c>
      <c r="N565" s="140">
        <f t="shared" si="79"/>
        <v>0</v>
      </c>
      <c r="O565" s="140">
        <f t="shared" si="80"/>
        <v>0</v>
      </c>
      <c r="P565" s="140">
        <f t="shared" si="81"/>
        <v>5.6000000000000008E-2</v>
      </c>
      <c r="Q565" s="156">
        <f t="shared" si="83"/>
        <v>1.7994745139253794</v>
      </c>
      <c r="R565" s="125">
        <v>3.2133473462953202</v>
      </c>
      <c r="S565" s="73">
        <f t="shared" si="82"/>
        <v>0.17994745139253795</v>
      </c>
      <c r="T565" t="s">
        <v>793</v>
      </c>
    </row>
    <row r="566" spans="1:20">
      <c r="A566" s="618" t="s">
        <v>755</v>
      </c>
      <c r="B566" s="618" t="s">
        <v>815</v>
      </c>
      <c r="C566" s="618" t="s">
        <v>946</v>
      </c>
      <c r="D566" s="631" t="s">
        <v>515</v>
      </c>
      <c r="E566" s="631" t="s">
        <v>817</v>
      </c>
      <c r="F566" s="628"/>
      <c r="G566" s="628">
        <v>0.05</v>
      </c>
      <c r="H566" s="628"/>
      <c r="I566" s="626">
        <v>5.41</v>
      </c>
      <c r="J566" s="628">
        <v>1</v>
      </c>
      <c r="K566" s="140">
        <f t="shared" si="76"/>
        <v>0.27050000000000002</v>
      </c>
      <c r="L566" s="140">
        <f t="shared" si="77"/>
        <v>0</v>
      </c>
      <c r="M566" s="140">
        <f t="shared" si="78"/>
        <v>0.27050000000000002</v>
      </c>
      <c r="N566" s="140">
        <f t="shared" si="79"/>
        <v>0</v>
      </c>
      <c r="O566" s="140">
        <f t="shared" si="80"/>
        <v>0</v>
      </c>
      <c r="P566" s="140">
        <f t="shared" si="81"/>
        <v>0</v>
      </c>
      <c r="Q566" s="156">
        <f t="shared" si="83"/>
        <v>21.045838150288994</v>
      </c>
      <c r="R566" s="125">
        <v>3.8901734104046199</v>
      </c>
      <c r="S566" s="73">
        <f t="shared" si="82"/>
        <v>1.0522919075144497</v>
      </c>
      <c r="T566" t="s">
        <v>800</v>
      </c>
    </row>
    <row r="567" spans="1:20">
      <c r="A567" s="618" t="s">
        <v>755</v>
      </c>
      <c r="B567" s="618" t="s">
        <v>815</v>
      </c>
      <c r="C567" s="618" t="s">
        <v>872</v>
      </c>
      <c r="D567" s="631" t="s">
        <v>515</v>
      </c>
      <c r="E567" s="631" t="s">
        <v>817</v>
      </c>
      <c r="F567" s="628"/>
      <c r="G567" s="628">
        <v>3.649</v>
      </c>
      <c r="H567" s="628"/>
      <c r="I567" s="626">
        <v>7.48</v>
      </c>
      <c r="J567" s="628">
        <v>1</v>
      </c>
      <c r="K567" s="140">
        <f t="shared" si="76"/>
        <v>27.294520000000002</v>
      </c>
      <c r="L567" s="140">
        <f t="shared" si="77"/>
        <v>0</v>
      </c>
      <c r="M567" s="140">
        <f t="shared" si="78"/>
        <v>27.294520000000002</v>
      </c>
      <c r="N567" s="140">
        <f t="shared" si="79"/>
        <v>0</v>
      </c>
      <c r="O567" s="140">
        <f t="shared" si="80"/>
        <v>0</v>
      </c>
      <c r="P567" s="140">
        <f t="shared" si="81"/>
        <v>0</v>
      </c>
      <c r="Q567" s="156">
        <f t="shared" si="83"/>
        <v>29.09849710982656</v>
      </c>
      <c r="R567" s="125">
        <v>3.8901734104046199</v>
      </c>
      <c r="S567" s="73">
        <f t="shared" si="82"/>
        <v>106.18041595375712</v>
      </c>
      <c r="T567" t="s">
        <v>800</v>
      </c>
    </row>
    <row r="568" spans="1:20">
      <c r="A568" s="618" t="s">
        <v>755</v>
      </c>
      <c r="B568" s="618" t="s">
        <v>790</v>
      </c>
      <c r="C568" s="618" t="s">
        <v>814</v>
      </c>
      <c r="D568" s="631" t="s">
        <v>497</v>
      </c>
      <c r="E568" s="631" t="s">
        <v>792</v>
      </c>
      <c r="F568" s="628"/>
      <c r="G568" s="628"/>
      <c r="H568" s="628">
        <f>0.076*0.076*3.1416/4</f>
        <v>4.5364704E-3</v>
      </c>
      <c r="I568" s="626">
        <f>12*0.0254*7850*0.25*0.0254</f>
        <v>15.193517999999999</v>
      </c>
      <c r="J568" s="628">
        <v>1</v>
      </c>
      <c r="K568" s="140">
        <f t="shared" si="76"/>
        <v>6.89249446788672E-2</v>
      </c>
      <c r="L568" s="140">
        <f t="shared" si="77"/>
        <v>6.89249446788672E-2</v>
      </c>
      <c r="M568" s="140">
        <f t="shared" si="78"/>
        <v>0</v>
      </c>
      <c r="N568" s="140">
        <f t="shared" si="79"/>
        <v>0</v>
      </c>
      <c r="O568" s="140">
        <f t="shared" si="80"/>
        <v>0</v>
      </c>
      <c r="P568" s="140">
        <f t="shared" si="81"/>
        <v>0</v>
      </c>
      <c r="Q568" s="156">
        <f t="shared" si="83"/>
        <v>31.003063253035361</v>
      </c>
      <c r="R568" s="125">
        <v>2.0405453992311302</v>
      </c>
      <c r="S568" s="73">
        <f t="shared" si="82"/>
        <v>0.14064447875672265</v>
      </c>
      <c r="T568" t="s">
        <v>793</v>
      </c>
    </row>
    <row r="569" spans="1:20">
      <c r="A569" s="618" t="s">
        <v>757</v>
      </c>
      <c r="B569" s="618" t="s">
        <v>794</v>
      </c>
      <c r="C569" s="618" t="s">
        <v>971</v>
      </c>
      <c r="D569" s="631" t="s">
        <v>513</v>
      </c>
      <c r="E569" s="631" t="s">
        <v>799</v>
      </c>
      <c r="F569" s="628"/>
      <c r="G569" s="628">
        <v>4.218</v>
      </c>
      <c r="H569" s="628"/>
      <c r="I569" s="626">
        <f>8.2*0.454/0.3048</f>
        <v>12.213910761154855</v>
      </c>
      <c r="J569" s="628">
        <v>576</v>
      </c>
      <c r="K569" s="140">
        <f t="shared" si="76"/>
        <v>29674.526740157478</v>
      </c>
      <c r="L569" s="140">
        <f t="shared" si="77"/>
        <v>0</v>
      </c>
      <c r="M569" s="140">
        <f t="shared" si="78"/>
        <v>0</v>
      </c>
      <c r="N569" s="140">
        <f t="shared" si="79"/>
        <v>0</v>
      </c>
      <c r="O569" s="140">
        <f t="shared" si="80"/>
        <v>29674.526740157478</v>
      </c>
      <c r="P569" s="140">
        <f t="shared" si="81"/>
        <v>0</v>
      </c>
      <c r="Q569" s="156">
        <f t="shared" si="83"/>
        <v>26.731969690073562</v>
      </c>
      <c r="R569" s="157">
        <v>2.1886495007882298</v>
      </c>
      <c r="S569" s="73">
        <f t="shared" si="82"/>
        <v>64947.138135972644</v>
      </c>
      <c r="T569" t="s">
        <v>793</v>
      </c>
    </row>
    <row r="570" spans="1:20">
      <c r="A570" s="618" t="s">
        <v>757</v>
      </c>
      <c r="B570" s="618" t="s">
        <v>794</v>
      </c>
      <c r="C570" s="618" t="s">
        <v>880</v>
      </c>
      <c r="D570" s="631" t="s">
        <v>515</v>
      </c>
      <c r="E570" s="633" t="s">
        <v>792</v>
      </c>
      <c r="F570" s="628"/>
      <c r="G570" s="628">
        <v>0.876</v>
      </c>
      <c r="H570" s="628"/>
      <c r="I570" s="626">
        <f>12*0.0254*7850*0.25*0.0254</f>
        <v>15.193517999999999</v>
      </c>
      <c r="J570" s="628">
        <v>576</v>
      </c>
      <c r="K570" s="140">
        <f t="shared" si="76"/>
        <v>7666.2845383679996</v>
      </c>
      <c r="L570" s="140">
        <f t="shared" si="77"/>
        <v>0</v>
      </c>
      <c r="M570" s="140">
        <f t="shared" si="78"/>
        <v>0</v>
      </c>
      <c r="N570" s="140">
        <f t="shared" si="79"/>
        <v>0</v>
      </c>
      <c r="O570" s="140">
        <f t="shared" si="80"/>
        <v>7666.2845383679996</v>
      </c>
      <c r="P570" s="140">
        <f t="shared" si="81"/>
        <v>0</v>
      </c>
      <c r="Q570" s="156">
        <f t="shared" si="83"/>
        <v>33.253285585916984</v>
      </c>
      <c r="R570" s="157">
        <v>2.1886495007882298</v>
      </c>
      <c r="S570" s="73">
        <f t="shared" si="82"/>
        <v>16778.809827799647</v>
      </c>
      <c r="T570" t="s">
        <v>793</v>
      </c>
    </row>
    <row r="571" spans="1:20">
      <c r="A571" s="618" t="s">
        <v>757</v>
      </c>
      <c r="B571" s="618" t="s">
        <v>790</v>
      </c>
      <c r="C571" s="618" t="s">
        <v>791</v>
      </c>
      <c r="D571" s="631" t="s">
        <v>497</v>
      </c>
      <c r="E571" s="631" t="s">
        <v>792</v>
      </c>
      <c r="F571" s="627">
        <v>0.249</v>
      </c>
      <c r="G571" s="627">
        <v>0.379</v>
      </c>
      <c r="H571" s="627"/>
      <c r="I571" s="626">
        <f>12*0.0254*7850*0.25*0.0254</f>
        <v>15.193517999999999</v>
      </c>
      <c r="J571" s="627">
        <v>576</v>
      </c>
      <c r="K571" s="140">
        <f t="shared" si="76"/>
        <v>825.88463261452796</v>
      </c>
      <c r="L571" s="140">
        <f t="shared" si="77"/>
        <v>825.88463261452796</v>
      </c>
      <c r="M571" s="140">
        <f t="shared" si="78"/>
        <v>0</v>
      </c>
      <c r="N571" s="140">
        <f t="shared" si="79"/>
        <v>0</v>
      </c>
      <c r="O571" s="140">
        <f t="shared" si="80"/>
        <v>0</v>
      </c>
      <c r="P571" s="140">
        <f t="shared" si="81"/>
        <v>0</v>
      </c>
      <c r="Q571" s="156">
        <f t="shared" si="83"/>
        <v>31.003063253035361</v>
      </c>
      <c r="R571" s="125">
        <v>2.0405453992311302</v>
      </c>
      <c r="S571" s="73">
        <f t="shared" si="82"/>
        <v>1685.2550873772673</v>
      </c>
      <c r="T571" t="s">
        <v>793</v>
      </c>
    </row>
    <row r="572" spans="1:20">
      <c r="A572" s="618" t="s">
        <v>757</v>
      </c>
      <c r="B572" s="618" t="s">
        <v>794</v>
      </c>
      <c r="C572" s="618" t="s">
        <v>972</v>
      </c>
      <c r="D572" s="631" t="s">
        <v>513</v>
      </c>
      <c r="E572" s="631" t="s">
        <v>799</v>
      </c>
      <c r="F572" s="628"/>
      <c r="G572" s="628">
        <v>0.32</v>
      </c>
      <c r="H572" s="628"/>
      <c r="I572" s="626">
        <f>2*0.0254*7850*0.0254*5/16</f>
        <v>3.1653162500000001</v>
      </c>
      <c r="J572" s="628">
        <v>576</v>
      </c>
      <c r="K572" s="140">
        <f t="shared" si="76"/>
        <v>583.43109119999997</v>
      </c>
      <c r="L572" s="140">
        <f t="shared" si="77"/>
        <v>0</v>
      </c>
      <c r="M572" s="140">
        <f t="shared" si="78"/>
        <v>0</v>
      </c>
      <c r="N572" s="140">
        <f t="shared" si="79"/>
        <v>0</v>
      </c>
      <c r="O572" s="140">
        <f t="shared" si="80"/>
        <v>583.43109119999997</v>
      </c>
      <c r="P572" s="140">
        <f t="shared" si="81"/>
        <v>0</v>
      </c>
      <c r="Q572" s="156">
        <f t="shared" si="83"/>
        <v>6.9277678303993717</v>
      </c>
      <c r="R572" s="125">
        <v>2.1886495007882298</v>
      </c>
      <c r="S572" s="73">
        <f t="shared" si="82"/>
        <v>1276.9261664992121</v>
      </c>
      <c r="T572" t="s">
        <v>793</v>
      </c>
    </row>
    <row r="573" spans="1:20">
      <c r="A573" s="618" t="s">
        <v>757</v>
      </c>
      <c r="B573" s="618" t="s">
        <v>790</v>
      </c>
      <c r="C573" s="618" t="s">
        <v>973</v>
      </c>
      <c r="D573" s="631" t="s">
        <v>497</v>
      </c>
      <c r="E573" s="631" t="s">
        <v>792</v>
      </c>
      <c r="F573" s="628">
        <v>0.91800000000000004</v>
      </c>
      <c r="G573" s="628">
        <v>0.91800000000000004</v>
      </c>
      <c r="H573" s="628"/>
      <c r="I573" s="626">
        <f>12*0.0254*7850*0.25*0.0254</f>
        <v>15.193517999999999</v>
      </c>
      <c r="J573" s="628">
        <v>36</v>
      </c>
      <c r="K573" s="140">
        <f t="shared" si="76"/>
        <v>460.94192146915196</v>
      </c>
      <c r="L573" s="140">
        <f t="shared" si="77"/>
        <v>460.94192146915196</v>
      </c>
      <c r="M573" s="140">
        <f t="shared" si="78"/>
        <v>0</v>
      </c>
      <c r="N573" s="140">
        <f t="shared" si="79"/>
        <v>0</v>
      </c>
      <c r="O573" s="140">
        <f t="shared" si="80"/>
        <v>0</v>
      </c>
      <c r="P573" s="140">
        <f t="shared" si="81"/>
        <v>0</v>
      </c>
      <c r="Q573" s="156">
        <f t="shared" si="83"/>
        <v>31.003063253035361</v>
      </c>
      <c r="R573" s="125">
        <v>2.0405453992311302</v>
      </c>
      <c r="S573" s="73">
        <f t="shared" si="82"/>
        <v>940.57291716663497</v>
      </c>
      <c r="T573" t="s">
        <v>793</v>
      </c>
    </row>
    <row r="574" spans="1:20">
      <c r="A574" s="618" t="s">
        <v>757</v>
      </c>
      <c r="B574" s="618" t="s">
        <v>790</v>
      </c>
      <c r="C574" s="618" t="s">
        <v>888</v>
      </c>
      <c r="D574" s="631" t="s">
        <v>497</v>
      </c>
      <c r="E574" s="631" t="s">
        <v>792</v>
      </c>
      <c r="F574" s="628">
        <v>0.14199999999999999</v>
      </c>
      <c r="G574" s="628">
        <v>0.2</v>
      </c>
      <c r="H574" s="628"/>
      <c r="I574" s="626">
        <f>12*0.0254*7850*0.25*0.0254</f>
        <v>15.193517999999999</v>
      </c>
      <c r="J574" s="628">
        <v>576</v>
      </c>
      <c r="K574" s="140">
        <f t="shared" si="76"/>
        <v>248.54164485119998</v>
      </c>
      <c r="L574" s="140">
        <f t="shared" si="77"/>
        <v>248.54164485119998</v>
      </c>
      <c r="M574" s="140">
        <f t="shared" si="78"/>
        <v>0</v>
      </c>
      <c r="N574" s="140">
        <f t="shared" si="79"/>
        <v>0</v>
      </c>
      <c r="O574" s="140">
        <f t="shared" si="80"/>
        <v>0</v>
      </c>
      <c r="P574" s="140">
        <f t="shared" si="81"/>
        <v>0</v>
      </c>
      <c r="Q574" s="156">
        <f t="shared" si="83"/>
        <v>31.003063253035361</v>
      </c>
      <c r="R574" s="125">
        <v>2.0405453992311302</v>
      </c>
      <c r="S574" s="73">
        <f t="shared" si="82"/>
        <v>507.16050991845361</v>
      </c>
      <c r="T574" t="s">
        <v>793</v>
      </c>
    </row>
    <row r="575" spans="1:20">
      <c r="A575" s="618" t="s">
        <v>757</v>
      </c>
      <c r="B575" s="618" t="s">
        <v>790</v>
      </c>
      <c r="C575" s="618" t="s">
        <v>974</v>
      </c>
      <c r="D575" s="631" t="s">
        <v>497</v>
      </c>
      <c r="E575" s="631" t="s">
        <v>792</v>
      </c>
      <c r="F575" s="628">
        <v>0.43</v>
      </c>
      <c r="G575" s="628">
        <v>0.43</v>
      </c>
      <c r="H575" s="628"/>
      <c r="I575" s="626">
        <f>12*0.0254*7850*0.25*0.0254</f>
        <v>15.193517999999999</v>
      </c>
      <c r="J575" s="628">
        <v>36</v>
      </c>
      <c r="K575" s="140">
        <f t="shared" si="76"/>
        <v>101.13413321519998</v>
      </c>
      <c r="L575" s="140">
        <f t="shared" si="77"/>
        <v>101.13413321519998</v>
      </c>
      <c r="M575" s="140">
        <f t="shared" si="78"/>
        <v>0</v>
      </c>
      <c r="N575" s="140">
        <f t="shared" si="79"/>
        <v>0</v>
      </c>
      <c r="O575" s="140">
        <f t="shared" si="80"/>
        <v>0</v>
      </c>
      <c r="P575" s="140">
        <f t="shared" si="81"/>
        <v>0</v>
      </c>
      <c r="Q575" s="156">
        <f t="shared" si="83"/>
        <v>31.003063253035361</v>
      </c>
      <c r="R575" s="125">
        <v>2.0405453992311302</v>
      </c>
      <c r="S575" s="73">
        <f t="shared" si="82"/>
        <v>206.36879023750456</v>
      </c>
      <c r="T575" t="s">
        <v>793</v>
      </c>
    </row>
    <row r="576" spans="1:20">
      <c r="A576" s="618" t="s">
        <v>757</v>
      </c>
      <c r="B576" s="618" t="s">
        <v>790</v>
      </c>
      <c r="C576" s="618" t="s">
        <v>807</v>
      </c>
      <c r="D576" s="631" t="s">
        <v>497</v>
      </c>
      <c r="E576" s="631" t="s">
        <v>792</v>
      </c>
      <c r="F576" s="627">
        <v>0.63</v>
      </c>
      <c r="G576" s="627">
        <v>0.63</v>
      </c>
      <c r="H576" s="627"/>
      <c r="I576" s="626">
        <f>12*0.0254*7850*0.25*0.0254</f>
        <v>15.193517999999999</v>
      </c>
      <c r="J576" s="627">
        <v>36</v>
      </c>
      <c r="K576" s="140">
        <f t="shared" si="76"/>
        <v>217.0910625912</v>
      </c>
      <c r="L576" s="140">
        <f t="shared" si="77"/>
        <v>217.0910625912</v>
      </c>
      <c r="M576" s="140">
        <f t="shared" si="78"/>
        <v>0</v>
      </c>
      <c r="N576" s="140">
        <f t="shared" si="79"/>
        <v>0</v>
      </c>
      <c r="O576" s="140">
        <f t="shared" si="80"/>
        <v>0</v>
      </c>
      <c r="P576" s="140">
        <f t="shared" si="81"/>
        <v>0</v>
      </c>
      <c r="Q576" s="156">
        <f t="shared" si="83"/>
        <v>31.003063253035361</v>
      </c>
      <c r="R576" s="125">
        <v>2.0405453992311302</v>
      </c>
      <c r="S576" s="73">
        <f t="shared" si="82"/>
        <v>442.98416898467048</v>
      </c>
      <c r="T576" t="s">
        <v>793</v>
      </c>
    </row>
    <row r="577" spans="1:20">
      <c r="A577" s="618" t="s">
        <v>757</v>
      </c>
      <c r="B577" s="618" t="s">
        <v>794</v>
      </c>
      <c r="C577" s="618" t="s">
        <v>975</v>
      </c>
      <c r="D577" s="631" t="s">
        <v>515</v>
      </c>
      <c r="E577" s="633" t="s">
        <v>792</v>
      </c>
      <c r="F577" s="628"/>
      <c r="G577" s="628">
        <v>0.2</v>
      </c>
      <c r="H577" s="628"/>
      <c r="I577" s="626">
        <f>12*0.0254*7850*0.25*0.0254</f>
        <v>15.193517999999999</v>
      </c>
      <c r="J577" s="628">
        <v>144</v>
      </c>
      <c r="K577" s="140">
        <f t="shared" si="76"/>
        <v>437.57331839999995</v>
      </c>
      <c r="L577" s="140">
        <f t="shared" si="77"/>
        <v>0</v>
      </c>
      <c r="M577" s="140">
        <f t="shared" si="78"/>
        <v>0</v>
      </c>
      <c r="N577" s="140">
        <f t="shared" si="79"/>
        <v>0</v>
      </c>
      <c r="O577" s="140">
        <f t="shared" si="80"/>
        <v>437.57331839999995</v>
      </c>
      <c r="P577" s="140">
        <f t="shared" si="81"/>
        <v>0</v>
      </c>
      <c r="Q577" s="156">
        <f t="shared" si="83"/>
        <v>33.253285585916984</v>
      </c>
      <c r="R577" s="157">
        <v>2.1886495007882298</v>
      </c>
      <c r="S577" s="73">
        <f t="shared" si="82"/>
        <v>957.69462487440899</v>
      </c>
      <c r="T577" t="s">
        <v>793</v>
      </c>
    </row>
    <row r="578" spans="1:20">
      <c r="A578" s="618" t="s">
        <v>757</v>
      </c>
      <c r="B578" s="618" t="s">
        <v>794</v>
      </c>
      <c r="C578" s="618" t="s">
        <v>976</v>
      </c>
      <c r="D578" s="631" t="s">
        <v>513</v>
      </c>
      <c r="E578" s="631" t="s">
        <v>799</v>
      </c>
      <c r="F578" s="628"/>
      <c r="G578" s="628">
        <v>7.76</v>
      </c>
      <c r="H578" s="628"/>
      <c r="I578" s="626">
        <f>11.5*0.454/0.3048</f>
        <v>17.129265091863516</v>
      </c>
      <c r="J578" s="628">
        <v>36</v>
      </c>
      <c r="K578" s="140">
        <f t="shared" si="76"/>
        <v>4785.2314960629919</v>
      </c>
      <c r="L578" s="140">
        <f t="shared" si="77"/>
        <v>0</v>
      </c>
      <c r="M578" s="140">
        <f t="shared" si="78"/>
        <v>0</v>
      </c>
      <c r="N578" s="140">
        <f t="shared" si="79"/>
        <v>0</v>
      </c>
      <c r="O578" s="140">
        <f t="shared" si="80"/>
        <v>4785.2314960629919</v>
      </c>
      <c r="P578" s="140">
        <f t="shared" si="81"/>
        <v>0</v>
      </c>
      <c r="Q578" s="156">
        <f t="shared" si="83"/>
        <v>37.489957492176337</v>
      </c>
      <c r="R578" s="157">
        <v>2.1886495007882298</v>
      </c>
      <c r="S578" s="73">
        <f t="shared" si="82"/>
        <v>10473.194525014382</v>
      </c>
      <c r="T578" t="s">
        <v>793</v>
      </c>
    </row>
    <row r="579" spans="1:20">
      <c r="A579" s="618" t="s">
        <v>757</v>
      </c>
      <c r="B579" s="618" t="s">
        <v>794</v>
      </c>
      <c r="C579" s="618" t="s">
        <v>971</v>
      </c>
      <c r="D579" s="631" t="s">
        <v>513</v>
      </c>
      <c r="E579" s="631" t="s">
        <v>799</v>
      </c>
      <c r="F579" s="628"/>
      <c r="G579" s="628">
        <v>7.76</v>
      </c>
      <c r="H579" s="628"/>
      <c r="I579" s="626">
        <f>8.2*0.454/0.3048</f>
        <v>12.213910761154855</v>
      </c>
      <c r="J579" s="628">
        <v>36</v>
      </c>
      <c r="K579" s="140">
        <f t="shared" ref="K579:K623" si="84">PRODUCT(F579:J579)</f>
        <v>3412.0781102362203</v>
      </c>
      <c r="L579" s="140">
        <f t="shared" ref="L579:L623" si="85">IF(B579="Lámina",K579,0)</f>
        <v>0</v>
      </c>
      <c r="M579" s="140">
        <f t="shared" ref="M579:M623" si="86">IF(B579="Tubería",K579,0)</f>
        <v>0</v>
      </c>
      <c r="N579" s="140">
        <f t="shared" ref="N579:N623" si="87">IF(B579="Accesorio",K579,0)</f>
        <v>0</v>
      </c>
      <c r="O579" s="140">
        <f t="shared" ref="O579:O623" si="88">IF(B579="Perfil",K579,0)</f>
        <v>3412.0781102362203</v>
      </c>
      <c r="P579" s="140">
        <f t="shared" ref="P579:P623" si="89">IF(B579="Tornillería",K579,0)</f>
        <v>0</v>
      </c>
      <c r="Q579" s="156">
        <f t="shared" si="83"/>
        <v>26.731969690073562</v>
      </c>
      <c r="R579" s="157">
        <v>2.1886495007882298</v>
      </c>
      <c r="S579" s="73">
        <f t="shared" ref="S579:S623" si="90">R579*K579</f>
        <v>7467.8430526189504</v>
      </c>
      <c r="T579" t="s">
        <v>793</v>
      </c>
    </row>
    <row r="580" spans="1:20">
      <c r="A580" s="618" t="s">
        <v>757</v>
      </c>
      <c r="B580" s="618" t="s">
        <v>794</v>
      </c>
      <c r="C580" s="618" t="s">
        <v>874</v>
      </c>
      <c r="D580" s="631" t="s">
        <v>513</v>
      </c>
      <c r="E580" s="631" t="s">
        <v>799</v>
      </c>
      <c r="F580" s="628"/>
      <c r="G580" s="628">
        <v>0.20300000000000001</v>
      </c>
      <c r="H580" s="628"/>
      <c r="I580" s="626">
        <f>2*0.0254*7850*0.0254/4</f>
        <v>2.5322529999999999</v>
      </c>
      <c r="J580" s="628">
        <v>1152</v>
      </c>
      <c r="K580" s="140">
        <f t="shared" si="84"/>
        <v>592.18255756799999</v>
      </c>
      <c r="L580" s="140">
        <f t="shared" si="85"/>
        <v>0</v>
      </c>
      <c r="M580" s="140">
        <f t="shared" si="86"/>
        <v>0</v>
      </c>
      <c r="N580" s="140">
        <f t="shared" si="87"/>
        <v>0</v>
      </c>
      <c r="O580" s="140">
        <f t="shared" si="88"/>
        <v>592.18255756799999</v>
      </c>
      <c r="P580" s="140">
        <f t="shared" si="89"/>
        <v>0</v>
      </c>
      <c r="Q580" s="156">
        <f t="shared" si="83"/>
        <v>5.5422142643194974</v>
      </c>
      <c r="R580" s="125">
        <v>2.1886495007882298</v>
      </c>
      <c r="S580" s="73">
        <f t="shared" si="90"/>
        <v>1296.0800589967005</v>
      </c>
      <c r="T580" t="s">
        <v>793</v>
      </c>
    </row>
    <row r="581" spans="1:20">
      <c r="A581" s="618" t="s">
        <v>757</v>
      </c>
      <c r="B581" s="618" t="s">
        <v>797</v>
      </c>
      <c r="C581" s="618" t="s">
        <v>977</v>
      </c>
      <c r="D581" s="631" t="s">
        <v>513</v>
      </c>
      <c r="E581" s="631" t="s">
        <v>799</v>
      </c>
      <c r="F581" s="628"/>
      <c r="G581" s="628"/>
      <c r="H581" s="628"/>
      <c r="I581" s="626">
        <v>0.09</v>
      </c>
      <c r="J581" s="628">
        <v>7600</v>
      </c>
      <c r="K581" s="140">
        <f t="shared" si="84"/>
        <v>684</v>
      </c>
      <c r="L581" s="140">
        <f t="shared" si="85"/>
        <v>0</v>
      </c>
      <c r="M581" s="140">
        <f t="shared" si="86"/>
        <v>0</v>
      </c>
      <c r="N581" s="140">
        <f t="shared" si="87"/>
        <v>0</v>
      </c>
      <c r="O581" s="140">
        <f t="shared" si="88"/>
        <v>0</v>
      </c>
      <c r="P581" s="140">
        <f t="shared" si="89"/>
        <v>684</v>
      </c>
      <c r="Q581" s="156">
        <f t="shared" si="83"/>
        <v>0.19697845507094067</v>
      </c>
      <c r="R581" s="125">
        <v>2.1886495007882298</v>
      </c>
      <c r="S581" s="73">
        <f t="shared" si="90"/>
        <v>1497.0362585391492</v>
      </c>
      <c r="T581" t="s">
        <v>793</v>
      </c>
    </row>
    <row r="582" spans="1:20">
      <c r="A582" s="618" t="s">
        <v>744</v>
      </c>
      <c r="B582" s="618" t="s">
        <v>794</v>
      </c>
      <c r="C582" s="618" t="s">
        <v>795</v>
      </c>
      <c r="D582" s="631" t="s">
        <v>515</v>
      </c>
      <c r="E582" s="633" t="s">
        <v>792</v>
      </c>
      <c r="F582" s="628"/>
      <c r="G582" s="628">
        <v>1.252</v>
      </c>
      <c r="H582" s="628"/>
      <c r="I582" s="626">
        <f>12*0.0254*7850*0.25*0.0254</f>
        <v>15.193517999999999</v>
      </c>
      <c r="J582" s="628">
        <v>72</v>
      </c>
      <c r="K582" s="140">
        <f t="shared" si="84"/>
        <v>1369.6044865919998</v>
      </c>
      <c r="L582" s="140">
        <f t="shared" si="85"/>
        <v>0</v>
      </c>
      <c r="M582" s="140">
        <f t="shared" si="86"/>
        <v>0</v>
      </c>
      <c r="N582" s="140">
        <f t="shared" si="87"/>
        <v>0</v>
      </c>
      <c r="O582" s="140">
        <f t="shared" si="88"/>
        <v>1369.6044865919998</v>
      </c>
      <c r="P582" s="140">
        <f t="shared" si="89"/>
        <v>0</v>
      </c>
      <c r="Q582" s="156">
        <f t="shared" si="83"/>
        <v>33.253285585916984</v>
      </c>
      <c r="R582" s="157">
        <v>2.1886495007882298</v>
      </c>
      <c r="S582" s="73">
        <f t="shared" si="90"/>
        <v>2997.5841758569004</v>
      </c>
      <c r="T582" t="s">
        <v>793</v>
      </c>
    </row>
    <row r="583" spans="1:20">
      <c r="A583" s="618" t="s">
        <v>744</v>
      </c>
      <c r="B583" s="618" t="s">
        <v>790</v>
      </c>
      <c r="C583" s="618" t="s">
        <v>909</v>
      </c>
      <c r="D583" s="631" t="s">
        <v>497</v>
      </c>
      <c r="E583" s="631" t="s">
        <v>792</v>
      </c>
      <c r="F583" s="628">
        <v>4.4999999999999998E-2</v>
      </c>
      <c r="G583" s="628">
        <v>4.4999999999999998E-2</v>
      </c>
      <c r="H583" s="628"/>
      <c r="I583" s="626">
        <f>12*0.0254*7850*0.25*0.0254</f>
        <v>15.193517999999999</v>
      </c>
      <c r="J583" s="628">
        <v>48</v>
      </c>
      <c r="K583" s="140">
        <f t="shared" si="84"/>
        <v>1.4768099495999998</v>
      </c>
      <c r="L583" s="140">
        <f t="shared" si="85"/>
        <v>1.4768099495999998</v>
      </c>
      <c r="M583" s="140">
        <f t="shared" si="86"/>
        <v>0</v>
      </c>
      <c r="N583" s="140">
        <f t="shared" si="87"/>
        <v>0</v>
      </c>
      <c r="O583" s="140">
        <f t="shared" si="88"/>
        <v>0</v>
      </c>
      <c r="P583" s="140">
        <f t="shared" si="89"/>
        <v>0</v>
      </c>
      <c r="Q583" s="156">
        <f t="shared" si="83"/>
        <v>31.003063253035361</v>
      </c>
      <c r="R583" s="125">
        <v>2.0405453992311302</v>
      </c>
      <c r="S583" s="73">
        <f t="shared" si="90"/>
        <v>3.0134977481950367</v>
      </c>
      <c r="T583" t="s">
        <v>793</v>
      </c>
    </row>
    <row r="584" spans="1:20">
      <c r="A584" s="618" t="s">
        <v>744</v>
      </c>
      <c r="B584" s="618" t="s">
        <v>815</v>
      </c>
      <c r="C584" s="618" t="s">
        <v>978</v>
      </c>
      <c r="D584" s="631" t="s">
        <v>515</v>
      </c>
      <c r="E584" s="631" t="s">
        <v>817</v>
      </c>
      <c r="F584" s="628"/>
      <c r="G584" s="628">
        <v>5.8879999999999999</v>
      </c>
      <c r="H584" s="628"/>
      <c r="I584" s="626">
        <v>4.05</v>
      </c>
      <c r="J584" s="628">
        <v>24</v>
      </c>
      <c r="K584" s="140">
        <f t="shared" si="84"/>
        <v>572.31359999999995</v>
      </c>
      <c r="L584" s="140">
        <f t="shared" si="85"/>
        <v>0</v>
      </c>
      <c r="M584" s="140">
        <f t="shared" si="86"/>
        <v>572.31359999999995</v>
      </c>
      <c r="N584" s="140">
        <f t="shared" si="87"/>
        <v>0</v>
      </c>
      <c r="O584" s="140">
        <f t="shared" si="88"/>
        <v>0</v>
      </c>
      <c r="P584" s="140">
        <f t="shared" si="89"/>
        <v>0</v>
      </c>
      <c r="Q584" s="156">
        <f t="shared" si="83"/>
        <v>15.75520231213871</v>
      </c>
      <c r="R584" s="125">
        <v>3.8901734104046199</v>
      </c>
      <c r="S584" s="73">
        <f t="shared" si="90"/>
        <v>2226.3991491329452</v>
      </c>
      <c r="T584" t="s">
        <v>793</v>
      </c>
    </row>
    <row r="585" spans="1:20">
      <c r="A585" s="618" t="s">
        <v>744</v>
      </c>
      <c r="B585" s="618" t="s">
        <v>794</v>
      </c>
      <c r="C585" s="618" t="s">
        <v>874</v>
      </c>
      <c r="D585" s="631" t="s">
        <v>513</v>
      </c>
      <c r="E585" s="631" t="s">
        <v>799</v>
      </c>
      <c r="F585" s="628"/>
      <c r="G585" s="628">
        <v>5.96</v>
      </c>
      <c r="H585" s="628"/>
      <c r="I585" s="626">
        <f>2*0.0254*7850*0.0254/4</f>
        <v>2.5322529999999999</v>
      </c>
      <c r="J585" s="628">
        <v>24</v>
      </c>
      <c r="K585" s="140">
        <f t="shared" si="84"/>
        <v>362.21346912000001</v>
      </c>
      <c r="L585" s="140">
        <f t="shared" si="85"/>
        <v>0</v>
      </c>
      <c r="M585" s="140">
        <f t="shared" si="86"/>
        <v>0</v>
      </c>
      <c r="N585" s="140">
        <f t="shared" si="87"/>
        <v>0</v>
      </c>
      <c r="O585" s="140">
        <f t="shared" si="88"/>
        <v>362.21346912000001</v>
      </c>
      <c r="P585" s="140">
        <f t="shared" si="89"/>
        <v>0</v>
      </c>
      <c r="Q585" s="156">
        <f t="shared" si="83"/>
        <v>5.5422142643194974</v>
      </c>
      <c r="R585" s="125">
        <v>2.1886495007882298</v>
      </c>
      <c r="S585" s="73">
        <f t="shared" si="90"/>
        <v>792.75832836826089</v>
      </c>
      <c r="T585" t="s">
        <v>793</v>
      </c>
    </row>
    <row r="586" spans="1:20">
      <c r="A586" s="618" t="s">
        <v>744</v>
      </c>
      <c r="B586" s="618" t="s">
        <v>794</v>
      </c>
      <c r="C586" s="618" t="s">
        <v>979</v>
      </c>
      <c r="D586" s="631" t="s">
        <v>513</v>
      </c>
      <c r="E586" s="631" t="s">
        <v>799</v>
      </c>
      <c r="F586" s="628">
        <v>0.91800000000000004</v>
      </c>
      <c r="G586" s="628">
        <v>5.96</v>
      </c>
      <c r="H586" s="628"/>
      <c r="I586" s="626">
        <f>6*0.0254*7850*0.0254/4</f>
        <v>7.5967589999999996</v>
      </c>
      <c r="J586" s="628">
        <v>24</v>
      </c>
      <c r="K586" s="140">
        <f t="shared" si="84"/>
        <v>997.53589395647987</v>
      </c>
      <c r="L586" s="140">
        <f t="shared" si="85"/>
        <v>0</v>
      </c>
      <c r="M586" s="140">
        <f t="shared" si="86"/>
        <v>0</v>
      </c>
      <c r="N586" s="140">
        <f t="shared" si="87"/>
        <v>0</v>
      </c>
      <c r="O586" s="140">
        <f t="shared" si="88"/>
        <v>997.53589395647987</v>
      </c>
      <c r="P586" s="140">
        <f t="shared" si="89"/>
        <v>0</v>
      </c>
      <c r="Q586" s="156">
        <f t="shared" si="83"/>
        <v>16.626642792958492</v>
      </c>
      <c r="R586" s="125">
        <v>2.1886495007882298</v>
      </c>
      <c r="S586" s="73">
        <f t="shared" si="90"/>
        <v>2183.2564363261904</v>
      </c>
      <c r="T586" t="s">
        <v>793</v>
      </c>
    </row>
    <row r="587" spans="1:20">
      <c r="A587" s="618" t="s">
        <v>744</v>
      </c>
      <c r="B587" s="618" t="s">
        <v>790</v>
      </c>
      <c r="C587" s="618" t="s">
        <v>807</v>
      </c>
      <c r="D587" s="631" t="s">
        <v>497</v>
      </c>
      <c r="E587" s="631" t="s">
        <v>792</v>
      </c>
      <c r="F587" s="627">
        <v>0.14199999999999999</v>
      </c>
      <c r="G587" s="627">
        <v>0.156</v>
      </c>
      <c r="H587" s="627"/>
      <c r="I587" s="626">
        <f>12*0.0254*7850*0.25*0.0254</f>
        <v>15.193517999999999</v>
      </c>
      <c r="J587" s="627">
        <v>48</v>
      </c>
      <c r="K587" s="140">
        <f t="shared" si="84"/>
        <v>16.155206915327998</v>
      </c>
      <c r="L587" s="140">
        <f t="shared" si="85"/>
        <v>16.155206915327998</v>
      </c>
      <c r="M587" s="140">
        <f t="shared" si="86"/>
        <v>0</v>
      </c>
      <c r="N587" s="140">
        <f t="shared" si="87"/>
        <v>0</v>
      </c>
      <c r="O587" s="140">
        <f t="shared" si="88"/>
        <v>0</v>
      </c>
      <c r="P587" s="140">
        <f t="shared" si="89"/>
        <v>0</v>
      </c>
      <c r="Q587" s="156">
        <f t="shared" si="83"/>
        <v>31.003063253035361</v>
      </c>
      <c r="R587" s="125">
        <v>2.0405453992311302</v>
      </c>
      <c r="S587" s="73">
        <f t="shared" si="90"/>
        <v>32.965433144699489</v>
      </c>
      <c r="T587" t="s">
        <v>793</v>
      </c>
    </row>
    <row r="588" spans="1:20">
      <c r="A588" s="618" t="s">
        <v>744</v>
      </c>
      <c r="B588" s="618" t="s">
        <v>794</v>
      </c>
      <c r="C588" s="618" t="s">
        <v>795</v>
      </c>
      <c r="D588" s="631" t="s">
        <v>515</v>
      </c>
      <c r="E588" s="633" t="s">
        <v>792</v>
      </c>
      <c r="F588" s="628"/>
      <c r="G588" s="628">
        <v>1.252</v>
      </c>
      <c r="H588" s="628"/>
      <c r="I588" s="626">
        <f>12*0.0254*7850*0.25*0.0254</f>
        <v>15.193517999999999</v>
      </c>
      <c r="J588" s="628">
        <v>24</v>
      </c>
      <c r="K588" s="140">
        <f t="shared" si="84"/>
        <v>456.53482886399991</v>
      </c>
      <c r="L588" s="140">
        <f t="shared" si="85"/>
        <v>0</v>
      </c>
      <c r="M588" s="140">
        <f t="shared" si="86"/>
        <v>0</v>
      </c>
      <c r="N588" s="140">
        <f t="shared" si="87"/>
        <v>0</v>
      </c>
      <c r="O588" s="140">
        <f t="shared" si="88"/>
        <v>456.53482886399991</v>
      </c>
      <c r="P588" s="140">
        <f t="shared" si="89"/>
        <v>0</v>
      </c>
      <c r="Q588" s="156">
        <f t="shared" si="83"/>
        <v>33.253285585916984</v>
      </c>
      <c r="R588" s="157">
        <v>2.1886495007882298</v>
      </c>
      <c r="S588" s="73">
        <f t="shared" si="90"/>
        <v>999.19472528563335</v>
      </c>
      <c r="T588" t="s">
        <v>793</v>
      </c>
    </row>
    <row r="589" spans="1:20">
      <c r="A589" s="618" t="s">
        <v>744</v>
      </c>
      <c r="B589" s="618" t="s">
        <v>815</v>
      </c>
      <c r="C589" s="618" t="s">
        <v>980</v>
      </c>
      <c r="D589" s="631" t="s">
        <v>515</v>
      </c>
      <c r="E589" s="631" t="s">
        <v>817</v>
      </c>
      <c r="F589" s="628"/>
      <c r="G589" s="628">
        <v>0.1</v>
      </c>
      <c r="H589" s="628"/>
      <c r="I589" s="626">
        <v>3.39</v>
      </c>
      <c r="J589" s="628">
        <v>24</v>
      </c>
      <c r="K589" s="140">
        <f t="shared" si="84"/>
        <v>8.136000000000001</v>
      </c>
      <c r="L589" s="140">
        <f t="shared" si="85"/>
        <v>0</v>
      </c>
      <c r="M589" s="140">
        <f t="shared" si="86"/>
        <v>8.136000000000001</v>
      </c>
      <c r="N589" s="140">
        <f t="shared" si="87"/>
        <v>0</v>
      </c>
      <c r="O589" s="140">
        <f t="shared" si="88"/>
        <v>0</v>
      </c>
      <c r="P589" s="140">
        <f t="shared" si="89"/>
        <v>0</v>
      </c>
      <c r="Q589" s="156">
        <f t="shared" si="83"/>
        <v>13.187687861271662</v>
      </c>
      <c r="R589" s="125">
        <v>3.8901734104046199</v>
      </c>
      <c r="S589" s="73">
        <f t="shared" si="90"/>
        <v>31.65045086705199</v>
      </c>
      <c r="T589" t="s">
        <v>793</v>
      </c>
    </row>
    <row r="590" spans="1:20">
      <c r="A590" s="618" t="s">
        <v>744</v>
      </c>
      <c r="B590" s="618" t="s">
        <v>794</v>
      </c>
      <c r="C590" s="618" t="s">
        <v>795</v>
      </c>
      <c r="D590" s="631" t="s">
        <v>515</v>
      </c>
      <c r="E590" s="633" t="s">
        <v>792</v>
      </c>
      <c r="F590" s="628"/>
      <c r="G590" s="628">
        <v>1.252</v>
      </c>
      <c r="H590" s="628"/>
      <c r="I590" s="626">
        <f>12*0.0254*7850*0.25*0.0254</f>
        <v>15.193517999999999</v>
      </c>
      <c r="J590" s="628">
        <v>18</v>
      </c>
      <c r="K590" s="140">
        <f t="shared" si="84"/>
        <v>342.40112164799996</v>
      </c>
      <c r="L590" s="140">
        <f t="shared" si="85"/>
        <v>0</v>
      </c>
      <c r="M590" s="140">
        <f t="shared" si="86"/>
        <v>0</v>
      </c>
      <c r="N590" s="140">
        <f t="shared" si="87"/>
        <v>0</v>
      </c>
      <c r="O590" s="140">
        <f t="shared" si="88"/>
        <v>342.40112164799996</v>
      </c>
      <c r="P590" s="140">
        <f t="shared" si="89"/>
        <v>0</v>
      </c>
      <c r="Q590" s="156">
        <f t="shared" si="83"/>
        <v>33.253285585916984</v>
      </c>
      <c r="R590" s="157">
        <v>2.1886495007882298</v>
      </c>
      <c r="S590" s="73">
        <f t="shared" si="90"/>
        <v>749.3960439642251</v>
      </c>
      <c r="T590" t="s">
        <v>793</v>
      </c>
    </row>
    <row r="591" spans="1:20">
      <c r="A591" s="618" t="s">
        <v>744</v>
      </c>
      <c r="B591" s="618" t="s">
        <v>790</v>
      </c>
      <c r="C591" s="618" t="s">
        <v>909</v>
      </c>
      <c r="D591" s="631" t="s">
        <v>497</v>
      </c>
      <c r="E591" s="631" t="s">
        <v>792</v>
      </c>
      <c r="F591" s="628">
        <v>4.4999999999999998E-2</v>
      </c>
      <c r="G591" s="628">
        <v>4.4999999999999998E-2</v>
      </c>
      <c r="H591" s="628"/>
      <c r="I591" s="626">
        <f>12*0.0254*7850*0.25*0.0254</f>
        <v>15.193517999999999</v>
      </c>
      <c r="J591" s="628">
        <v>12</v>
      </c>
      <c r="K591" s="140">
        <f t="shared" si="84"/>
        <v>0.36920248739999995</v>
      </c>
      <c r="L591" s="140">
        <f t="shared" si="85"/>
        <v>0.36920248739999995</v>
      </c>
      <c r="M591" s="140">
        <f t="shared" si="86"/>
        <v>0</v>
      </c>
      <c r="N591" s="140">
        <f t="shared" si="87"/>
        <v>0</v>
      </c>
      <c r="O591" s="140">
        <f t="shared" si="88"/>
        <v>0</v>
      </c>
      <c r="P591" s="140">
        <f t="shared" si="89"/>
        <v>0</v>
      </c>
      <c r="Q591" s="156">
        <f t="shared" si="83"/>
        <v>31.003063253035361</v>
      </c>
      <c r="R591" s="125">
        <v>2.0405453992311302</v>
      </c>
      <c r="S591" s="73">
        <f t="shared" si="90"/>
        <v>0.75337443704875917</v>
      </c>
      <c r="T591" t="s">
        <v>793</v>
      </c>
    </row>
    <row r="592" spans="1:20">
      <c r="A592" s="618" t="s">
        <v>744</v>
      </c>
      <c r="B592" s="618" t="s">
        <v>794</v>
      </c>
      <c r="C592" s="618" t="s">
        <v>795</v>
      </c>
      <c r="D592" s="631" t="s">
        <v>515</v>
      </c>
      <c r="E592" s="633" t="s">
        <v>792</v>
      </c>
      <c r="F592" s="628"/>
      <c r="G592" s="628">
        <v>1.252</v>
      </c>
      <c r="H592" s="628"/>
      <c r="I592" s="626">
        <f>12*0.0254*7850*0.25*0.0254</f>
        <v>15.193517999999999</v>
      </c>
      <c r="J592" s="628">
        <v>6</v>
      </c>
      <c r="K592" s="140">
        <f t="shared" si="84"/>
        <v>114.13370721599998</v>
      </c>
      <c r="L592" s="140">
        <f t="shared" si="85"/>
        <v>0</v>
      </c>
      <c r="M592" s="140">
        <f t="shared" si="86"/>
        <v>0</v>
      </c>
      <c r="N592" s="140">
        <f t="shared" si="87"/>
        <v>0</v>
      </c>
      <c r="O592" s="140">
        <f t="shared" si="88"/>
        <v>114.13370721599998</v>
      </c>
      <c r="P592" s="140">
        <f t="shared" si="89"/>
        <v>0</v>
      </c>
      <c r="Q592" s="156">
        <f t="shared" si="83"/>
        <v>33.253285585916984</v>
      </c>
      <c r="R592" s="157">
        <v>2.1886495007882298</v>
      </c>
      <c r="S592" s="73">
        <f t="shared" si="90"/>
        <v>249.79868132140834</v>
      </c>
      <c r="T592" t="s">
        <v>793</v>
      </c>
    </row>
    <row r="593" spans="1:20">
      <c r="A593" s="618" t="s">
        <v>744</v>
      </c>
      <c r="B593" s="618" t="s">
        <v>815</v>
      </c>
      <c r="C593" s="618" t="s">
        <v>978</v>
      </c>
      <c r="D593" s="631" t="s">
        <v>515</v>
      </c>
      <c r="E593" s="631" t="s">
        <v>817</v>
      </c>
      <c r="F593" s="628"/>
      <c r="G593" s="628">
        <v>4.4240000000000004</v>
      </c>
      <c r="H593" s="628"/>
      <c r="I593" s="626">
        <v>4.05</v>
      </c>
      <c r="J593" s="628">
        <v>6</v>
      </c>
      <c r="K593" s="140">
        <f t="shared" si="84"/>
        <v>107.50320000000001</v>
      </c>
      <c r="L593" s="140">
        <f t="shared" si="85"/>
        <v>0</v>
      </c>
      <c r="M593" s="140">
        <f t="shared" si="86"/>
        <v>107.50320000000001</v>
      </c>
      <c r="N593" s="140">
        <f t="shared" si="87"/>
        <v>0</v>
      </c>
      <c r="O593" s="140">
        <f t="shared" si="88"/>
        <v>0</v>
      </c>
      <c r="P593" s="140">
        <f t="shared" si="89"/>
        <v>0</v>
      </c>
      <c r="Q593" s="156">
        <f t="shared" si="83"/>
        <v>15.75520231213871</v>
      </c>
      <c r="R593" s="125">
        <v>3.8901734104046199</v>
      </c>
      <c r="S593" s="73">
        <f t="shared" si="90"/>
        <v>418.20609017340996</v>
      </c>
      <c r="T593" t="s">
        <v>793</v>
      </c>
    </row>
    <row r="594" spans="1:20">
      <c r="A594" s="618" t="s">
        <v>744</v>
      </c>
      <c r="B594" s="618" t="s">
        <v>794</v>
      </c>
      <c r="C594" s="618" t="s">
        <v>874</v>
      </c>
      <c r="D594" s="631" t="s">
        <v>513</v>
      </c>
      <c r="E594" s="631" t="s">
        <v>799</v>
      </c>
      <c r="F594" s="628"/>
      <c r="G594" s="628">
        <v>4.42</v>
      </c>
      <c r="H594" s="628"/>
      <c r="I594" s="626">
        <f>2*0.0254*7850*0.0254/4</f>
        <v>2.5322529999999999</v>
      </c>
      <c r="J594" s="628">
        <v>6</v>
      </c>
      <c r="K594" s="140">
        <f t="shared" si="84"/>
        <v>67.155349559999991</v>
      </c>
      <c r="L594" s="140">
        <f t="shared" si="85"/>
        <v>0</v>
      </c>
      <c r="M594" s="140">
        <f t="shared" si="86"/>
        <v>0</v>
      </c>
      <c r="N594" s="140">
        <f t="shared" si="87"/>
        <v>0</v>
      </c>
      <c r="O594" s="140">
        <f t="shared" si="88"/>
        <v>67.155349559999991</v>
      </c>
      <c r="P594" s="140">
        <f t="shared" si="89"/>
        <v>0</v>
      </c>
      <c r="Q594" s="156">
        <f t="shared" si="83"/>
        <v>5.5422142643194974</v>
      </c>
      <c r="R594" s="125">
        <v>2.1886495007882298</v>
      </c>
      <c r="S594" s="73">
        <f t="shared" si="90"/>
        <v>146.97952228975305</v>
      </c>
      <c r="T594" t="s">
        <v>793</v>
      </c>
    </row>
    <row r="595" spans="1:20">
      <c r="A595" s="618" t="s">
        <v>744</v>
      </c>
      <c r="B595" s="618" t="s">
        <v>794</v>
      </c>
      <c r="C595" s="618" t="s">
        <v>979</v>
      </c>
      <c r="D595" s="631" t="s">
        <v>513</v>
      </c>
      <c r="E595" s="631" t="s">
        <v>799</v>
      </c>
      <c r="F595" s="628"/>
      <c r="G595" s="628">
        <v>4.42</v>
      </c>
      <c r="H595" s="628"/>
      <c r="I595" s="626">
        <f>6*0.0254*7850*0.0254/4</f>
        <v>7.5967589999999996</v>
      </c>
      <c r="J595" s="628">
        <v>6</v>
      </c>
      <c r="K595" s="140">
        <f t="shared" si="84"/>
        <v>201.46604867999997</v>
      </c>
      <c r="L595" s="140">
        <f t="shared" si="85"/>
        <v>0</v>
      </c>
      <c r="M595" s="140">
        <f t="shared" si="86"/>
        <v>0</v>
      </c>
      <c r="N595" s="140">
        <f t="shared" si="87"/>
        <v>0</v>
      </c>
      <c r="O595" s="140">
        <f t="shared" si="88"/>
        <v>201.46604867999997</v>
      </c>
      <c r="P595" s="140">
        <f t="shared" si="89"/>
        <v>0</v>
      </c>
      <c r="Q595" s="156">
        <f t="shared" si="83"/>
        <v>16.626642792958492</v>
      </c>
      <c r="R595" s="125">
        <v>2.1886495007882298</v>
      </c>
      <c r="S595" s="73">
        <f t="shared" si="90"/>
        <v>440.93856686925915</v>
      </c>
      <c r="T595" t="s">
        <v>793</v>
      </c>
    </row>
    <row r="596" spans="1:20">
      <c r="A596" s="618" t="s">
        <v>744</v>
      </c>
      <c r="B596" s="618" t="s">
        <v>790</v>
      </c>
      <c r="C596" s="618" t="s">
        <v>807</v>
      </c>
      <c r="D596" s="631" t="s">
        <v>497</v>
      </c>
      <c r="E596" s="631" t="s">
        <v>792</v>
      </c>
      <c r="F596" s="627">
        <v>0.14199999999999999</v>
      </c>
      <c r="G596" s="627">
        <v>0.156</v>
      </c>
      <c r="H596" s="627"/>
      <c r="I596" s="626">
        <f>12*0.0254*7850*0.25*0.0254</f>
        <v>15.193517999999999</v>
      </c>
      <c r="J596" s="627">
        <v>12</v>
      </c>
      <c r="K596" s="140">
        <f t="shared" si="84"/>
        <v>4.0388017288319995</v>
      </c>
      <c r="L596" s="140">
        <f t="shared" si="85"/>
        <v>4.0388017288319995</v>
      </c>
      <c r="M596" s="140">
        <f t="shared" si="86"/>
        <v>0</v>
      </c>
      <c r="N596" s="140">
        <f t="shared" si="87"/>
        <v>0</v>
      </c>
      <c r="O596" s="140">
        <f t="shared" si="88"/>
        <v>0</v>
      </c>
      <c r="P596" s="140">
        <f t="shared" si="89"/>
        <v>0</v>
      </c>
      <c r="Q596" s="156">
        <f t="shared" si="83"/>
        <v>31.003063253035361</v>
      </c>
      <c r="R596" s="125">
        <v>2.0405453992311302</v>
      </c>
      <c r="S596" s="73">
        <f t="shared" si="90"/>
        <v>8.2413582861748722</v>
      </c>
      <c r="T596" t="s">
        <v>793</v>
      </c>
    </row>
    <row r="597" spans="1:20">
      <c r="A597" s="618" t="s">
        <v>744</v>
      </c>
      <c r="B597" s="618" t="s">
        <v>794</v>
      </c>
      <c r="C597" s="618" t="s">
        <v>795</v>
      </c>
      <c r="D597" s="631" t="s">
        <v>515</v>
      </c>
      <c r="E597" s="633" t="s">
        <v>792</v>
      </c>
      <c r="F597" s="628"/>
      <c r="G597" s="628">
        <v>1.252</v>
      </c>
      <c r="H597" s="628"/>
      <c r="I597" s="626">
        <f>12*0.0254*7850*0.25*0.0254</f>
        <v>15.193517999999999</v>
      </c>
      <c r="J597" s="628">
        <v>6</v>
      </c>
      <c r="K597" s="140">
        <f t="shared" si="84"/>
        <v>114.13370721599998</v>
      </c>
      <c r="L597" s="140">
        <f t="shared" si="85"/>
        <v>0</v>
      </c>
      <c r="M597" s="140">
        <f t="shared" si="86"/>
        <v>0</v>
      </c>
      <c r="N597" s="140">
        <f t="shared" si="87"/>
        <v>0</v>
      </c>
      <c r="O597" s="140">
        <f t="shared" si="88"/>
        <v>114.13370721599998</v>
      </c>
      <c r="P597" s="140">
        <f t="shared" si="89"/>
        <v>0</v>
      </c>
      <c r="Q597" s="156">
        <f t="shared" si="83"/>
        <v>33.253285585916984</v>
      </c>
      <c r="R597" s="157">
        <v>2.1886495007882298</v>
      </c>
      <c r="S597" s="73">
        <f t="shared" si="90"/>
        <v>249.79868132140834</v>
      </c>
      <c r="T597" t="s">
        <v>793</v>
      </c>
    </row>
    <row r="598" spans="1:20">
      <c r="A598" s="618" t="s">
        <v>744</v>
      </c>
      <c r="B598" s="618" t="s">
        <v>797</v>
      </c>
      <c r="C598" s="618" t="s">
        <v>981</v>
      </c>
      <c r="D598" s="631" t="s">
        <v>513</v>
      </c>
      <c r="E598" s="631" t="s">
        <v>799</v>
      </c>
      <c r="F598" s="628"/>
      <c r="G598" s="628"/>
      <c r="H598" s="628"/>
      <c r="I598" s="626">
        <v>0.18</v>
      </c>
      <c r="J598" s="628">
        <v>240</v>
      </c>
      <c r="K598" s="140">
        <f t="shared" si="84"/>
        <v>43.199999999999996</v>
      </c>
      <c r="L598" s="140">
        <f t="shared" si="85"/>
        <v>0</v>
      </c>
      <c r="M598" s="140">
        <f t="shared" si="86"/>
        <v>0</v>
      </c>
      <c r="N598" s="140">
        <f t="shared" si="87"/>
        <v>0</v>
      </c>
      <c r="O598" s="140">
        <f t="shared" si="88"/>
        <v>0</v>
      </c>
      <c r="P598" s="140">
        <f t="shared" si="89"/>
        <v>43.199999999999996</v>
      </c>
      <c r="Q598" s="156">
        <f t="shared" si="83"/>
        <v>0.39395691014188133</v>
      </c>
      <c r="R598" s="125">
        <v>2.1886495007882298</v>
      </c>
      <c r="S598" s="73">
        <f t="shared" si="90"/>
        <v>94.549658434051523</v>
      </c>
      <c r="T598" t="s">
        <v>793</v>
      </c>
    </row>
    <row r="599" spans="1:20">
      <c r="A599" s="618" t="s">
        <v>744</v>
      </c>
      <c r="B599" s="618" t="s">
        <v>797</v>
      </c>
      <c r="C599" s="618" t="s">
        <v>977</v>
      </c>
      <c r="D599" s="631" t="s">
        <v>513</v>
      </c>
      <c r="E599" s="631" t="s">
        <v>799</v>
      </c>
      <c r="F599" s="628"/>
      <c r="G599" s="628"/>
      <c r="H599" s="628"/>
      <c r="I599" s="626">
        <v>0.9</v>
      </c>
      <c r="J599" s="628">
        <v>72</v>
      </c>
      <c r="K599" s="140">
        <f t="shared" si="84"/>
        <v>64.8</v>
      </c>
      <c r="L599" s="140">
        <f t="shared" si="85"/>
        <v>0</v>
      </c>
      <c r="M599" s="140">
        <f t="shared" si="86"/>
        <v>0</v>
      </c>
      <c r="N599" s="140">
        <f t="shared" si="87"/>
        <v>0</v>
      </c>
      <c r="O599" s="140">
        <f t="shared" si="88"/>
        <v>0</v>
      </c>
      <c r="P599" s="140">
        <f t="shared" si="89"/>
        <v>64.8</v>
      </c>
      <c r="Q599" s="156">
        <f t="shared" si="83"/>
        <v>1.9697845507094069</v>
      </c>
      <c r="R599" s="125">
        <v>2.1886495007882298</v>
      </c>
      <c r="S599" s="73">
        <f t="shared" si="90"/>
        <v>141.82448765107728</v>
      </c>
      <c r="T599" t="s">
        <v>793</v>
      </c>
    </row>
    <row r="600" spans="1:20">
      <c r="A600" s="618" t="s">
        <v>756</v>
      </c>
      <c r="B600" s="618" t="s">
        <v>790</v>
      </c>
      <c r="C600" s="618" t="s">
        <v>814</v>
      </c>
      <c r="D600" s="631" t="s">
        <v>497</v>
      </c>
      <c r="E600" s="631" t="s">
        <v>792</v>
      </c>
      <c r="F600" s="628">
        <v>2.3759999999999999</v>
      </c>
      <c r="G600" s="628">
        <v>1.113</v>
      </c>
      <c r="H600" s="628"/>
      <c r="I600" s="626">
        <f>12*0.0254*7850*0.25*0.0254</f>
        <v>15.193517999999999</v>
      </c>
      <c r="J600" s="628">
        <v>1</v>
      </c>
      <c r="K600" s="140">
        <f t="shared" si="84"/>
        <v>40.179076028783996</v>
      </c>
      <c r="L600" s="140">
        <f t="shared" si="85"/>
        <v>40.179076028783996</v>
      </c>
      <c r="M600" s="140">
        <f t="shared" si="86"/>
        <v>0</v>
      </c>
      <c r="N600" s="140">
        <f t="shared" si="87"/>
        <v>0</v>
      </c>
      <c r="O600" s="140">
        <f t="shared" si="88"/>
        <v>0</v>
      </c>
      <c r="P600" s="140">
        <f t="shared" si="89"/>
        <v>0</v>
      </c>
      <c r="Q600" s="156">
        <f t="shared" si="83"/>
        <v>31.003063253035361</v>
      </c>
      <c r="R600" s="125">
        <v>2.0405453992311302</v>
      </c>
      <c r="S600" s="73">
        <f t="shared" si="90"/>
        <v>81.98722873589297</v>
      </c>
      <c r="T600" t="s">
        <v>793</v>
      </c>
    </row>
    <row r="601" spans="1:20">
      <c r="A601" s="618" t="s">
        <v>756</v>
      </c>
      <c r="B601" s="618" t="s">
        <v>790</v>
      </c>
      <c r="C601" s="618" t="s">
        <v>814</v>
      </c>
      <c r="D601" s="631" t="s">
        <v>497</v>
      </c>
      <c r="E601" s="631" t="s">
        <v>792</v>
      </c>
      <c r="F601" s="628"/>
      <c r="G601" s="628"/>
      <c r="H601" s="628">
        <f>((0.885*0.885*3.1416/4)-(0.763*0.763*3.1416/4))</f>
        <v>0.15790938239999996</v>
      </c>
      <c r="I601" s="626">
        <f>12*0.0254*7850*0.25*0.0254</f>
        <v>15.193517999999999</v>
      </c>
      <c r="J601" s="628">
        <v>1</v>
      </c>
      <c r="K601" s="140">
        <f t="shared" si="84"/>
        <v>2.3991990438632826</v>
      </c>
      <c r="L601" s="140">
        <f t="shared" si="85"/>
        <v>2.3991990438632826</v>
      </c>
      <c r="M601" s="140">
        <f t="shared" si="86"/>
        <v>0</v>
      </c>
      <c r="N601" s="140">
        <f t="shared" si="87"/>
        <v>0</v>
      </c>
      <c r="O601" s="140">
        <f t="shared" si="88"/>
        <v>0</v>
      </c>
      <c r="P601" s="140">
        <f t="shared" si="89"/>
        <v>0</v>
      </c>
      <c r="Q601" s="156">
        <f t="shared" si="83"/>
        <v>31.003063253035361</v>
      </c>
      <c r="R601" s="125">
        <v>2.0405453992311302</v>
      </c>
      <c r="S601" s="73">
        <f t="shared" si="90"/>
        <v>4.8956745707949478</v>
      </c>
      <c r="T601" t="s">
        <v>793</v>
      </c>
    </row>
    <row r="602" spans="1:20">
      <c r="A602" s="618" t="s">
        <v>756</v>
      </c>
      <c r="B602" s="618" t="s">
        <v>797</v>
      </c>
      <c r="C602" s="618" t="s">
        <v>862</v>
      </c>
      <c r="D602" s="631" t="s">
        <v>513</v>
      </c>
      <c r="E602" s="631" t="s">
        <v>799</v>
      </c>
      <c r="F602" s="628"/>
      <c r="G602" s="628">
        <v>1</v>
      </c>
      <c r="H602" s="628"/>
      <c r="I602" s="626">
        <v>0.1</v>
      </c>
      <c r="J602" s="628">
        <v>1</v>
      </c>
      <c r="K602" s="140">
        <f t="shared" si="84"/>
        <v>0.1</v>
      </c>
      <c r="L602" s="140">
        <f t="shared" si="85"/>
        <v>0</v>
      </c>
      <c r="M602" s="140">
        <f t="shared" si="86"/>
        <v>0</v>
      </c>
      <c r="N602" s="140">
        <f t="shared" si="87"/>
        <v>0</v>
      </c>
      <c r="O602" s="140">
        <f t="shared" si="88"/>
        <v>0</v>
      </c>
      <c r="P602" s="140">
        <f t="shared" si="89"/>
        <v>0.1</v>
      </c>
      <c r="Q602" s="156">
        <f t="shared" si="83"/>
        <v>0.32133473462953205</v>
      </c>
      <c r="R602" s="125">
        <v>3.2133473462953202</v>
      </c>
      <c r="S602" s="73">
        <f t="shared" si="90"/>
        <v>0.32133473462953205</v>
      </c>
      <c r="T602" t="s">
        <v>793</v>
      </c>
    </row>
    <row r="603" spans="1:20">
      <c r="A603" s="618" t="s">
        <v>756</v>
      </c>
      <c r="B603" s="618" t="s">
        <v>790</v>
      </c>
      <c r="C603" s="618" t="s">
        <v>814</v>
      </c>
      <c r="D603" s="631" t="s">
        <v>497</v>
      </c>
      <c r="E603" s="631" t="s">
        <v>792</v>
      </c>
      <c r="F603" s="628"/>
      <c r="G603" s="628"/>
      <c r="H603" s="628">
        <f>(0.885*0.885*3.1416/4)</f>
        <v>0.61514491500000001</v>
      </c>
      <c r="I603" s="626">
        <f>12*0.0254*7850*0.25*0.0254</f>
        <v>15.193517999999999</v>
      </c>
      <c r="J603" s="628">
        <v>1</v>
      </c>
      <c r="K603" s="140">
        <f t="shared" si="84"/>
        <v>9.3462153386609703</v>
      </c>
      <c r="L603" s="140">
        <f t="shared" si="85"/>
        <v>9.3462153386609703</v>
      </c>
      <c r="M603" s="140">
        <f t="shared" si="86"/>
        <v>0</v>
      </c>
      <c r="N603" s="140">
        <f t="shared" si="87"/>
        <v>0</v>
      </c>
      <c r="O603" s="140">
        <f t="shared" si="88"/>
        <v>0</v>
      </c>
      <c r="P603" s="140">
        <f t="shared" si="89"/>
        <v>0</v>
      </c>
      <c r="Q603" s="156">
        <f t="shared" si="83"/>
        <v>31.003063253035361</v>
      </c>
      <c r="R603" s="125">
        <v>2.0405453992311302</v>
      </c>
      <c r="S603" s="73">
        <f t="shared" si="90"/>
        <v>19.071376709528064</v>
      </c>
      <c r="T603" t="s">
        <v>793</v>
      </c>
    </row>
    <row r="604" spans="1:20">
      <c r="A604" s="618" t="s">
        <v>756</v>
      </c>
      <c r="B604" s="618" t="s">
        <v>797</v>
      </c>
      <c r="C604" s="618" t="s">
        <v>900</v>
      </c>
      <c r="D604" s="631" t="s">
        <v>515</v>
      </c>
      <c r="E604" s="631" t="s">
        <v>792</v>
      </c>
      <c r="F604" s="628"/>
      <c r="G604" s="628">
        <v>0.3</v>
      </c>
      <c r="H604" s="628"/>
      <c r="I604" s="626">
        <v>1.55</v>
      </c>
      <c r="J604" s="628">
        <v>1</v>
      </c>
      <c r="K604" s="140">
        <f t="shared" si="84"/>
        <v>0.46499999999999997</v>
      </c>
      <c r="L604" s="140">
        <f t="shared" si="85"/>
        <v>0</v>
      </c>
      <c r="M604" s="140">
        <f t="shared" si="86"/>
        <v>0</v>
      </c>
      <c r="N604" s="140">
        <f t="shared" si="87"/>
        <v>0</v>
      </c>
      <c r="O604" s="140">
        <f t="shared" si="88"/>
        <v>0</v>
      </c>
      <c r="P604" s="140">
        <f t="shared" si="89"/>
        <v>0.46499999999999997</v>
      </c>
      <c r="Q604" s="156">
        <f t="shared" ref="Q604:Q623" si="91">I604*R604</f>
        <v>4.9806883867577465</v>
      </c>
      <c r="R604" s="125">
        <v>3.2133473462953202</v>
      </c>
      <c r="S604" s="73">
        <f t="shared" si="90"/>
        <v>1.4942065160273237</v>
      </c>
      <c r="T604" t="s">
        <v>793</v>
      </c>
    </row>
    <row r="605" spans="1:20">
      <c r="A605" s="618" t="s">
        <v>756</v>
      </c>
      <c r="B605" s="618" t="s">
        <v>794</v>
      </c>
      <c r="C605" s="618" t="s">
        <v>943</v>
      </c>
      <c r="D605" s="631" t="s">
        <v>513</v>
      </c>
      <c r="E605" s="631" t="s">
        <v>799</v>
      </c>
      <c r="F605" s="628"/>
      <c r="G605" s="628">
        <v>2.726</v>
      </c>
      <c r="H605" s="628"/>
      <c r="I605" s="626">
        <f>3*0.0254*7850*0.0254*3/8</f>
        <v>5.6975692499999999</v>
      </c>
      <c r="J605" s="628">
        <v>2</v>
      </c>
      <c r="K605" s="140">
        <f t="shared" si="84"/>
        <v>31.063147551</v>
      </c>
      <c r="L605" s="140">
        <f t="shared" si="85"/>
        <v>0</v>
      </c>
      <c r="M605" s="140">
        <f t="shared" si="86"/>
        <v>0</v>
      </c>
      <c r="N605" s="140">
        <f t="shared" si="87"/>
        <v>0</v>
      </c>
      <c r="O605" s="140">
        <f t="shared" si="88"/>
        <v>31.063147551</v>
      </c>
      <c r="P605" s="140">
        <f t="shared" si="89"/>
        <v>0</v>
      </c>
      <c r="Q605" s="156">
        <f t="shared" si="91"/>
        <v>12.469982094718869</v>
      </c>
      <c r="R605" s="125">
        <v>2.1886495007882298</v>
      </c>
      <c r="S605" s="73">
        <f t="shared" si="90"/>
        <v>67.98634238040728</v>
      </c>
      <c r="T605" t="s">
        <v>793</v>
      </c>
    </row>
    <row r="606" spans="1:20">
      <c r="A606" s="618" t="s">
        <v>756</v>
      </c>
      <c r="B606" s="618" t="s">
        <v>797</v>
      </c>
      <c r="C606" s="618" t="s">
        <v>873</v>
      </c>
      <c r="D606" s="631" t="s">
        <v>515</v>
      </c>
      <c r="E606" s="631" t="s">
        <v>792</v>
      </c>
      <c r="F606" s="628"/>
      <c r="G606" s="628">
        <v>0.4</v>
      </c>
      <c r="H606" s="628"/>
      <c r="I606" s="626">
        <v>2.2349999999999999</v>
      </c>
      <c r="J606" s="628">
        <v>10</v>
      </c>
      <c r="K606" s="140">
        <f t="shared" si="84"/>
        <v>8.94</v>
      </c>
      <c r="L606" s="140">
        <f t="shared" si="85"/>
        <v>0</v>
      </c>
      <c r="M606" s="140">
        <f t="shared" si="86"/>
        <v>0</v>
      </c>
      <c r="N606" s="140">
        <f t="shared" si="87"/>
        <v>0</v>
      </c>
      <c r="O606" s="140">
        <f t="shared" si="88"/>
        <v>0</v>
      </c>
      <c r="P606" s="140">
        <f t="shared" si="89"/>
        <v>8.94</v>
      </c>
      <c r="Q606" s="156">
        <f t="shared" si="91"/>
        <v>7.1818313189700405</v>
      </c>
      <c r="R606" s="125">
        <v>3.2133473462953202</v>
      </c>
      <c r="S606" s="73">
        <f t="shared" si="90"/>
        <v>28.727325275880162</v>
      </c>
      <c r="T606" t="s">
        <v>793</v>
      </c>
    </row>
    <row r="607" spans="1:20">
      <c r="A607" s="618" t="s">
        <v>756</v>
      </c>
      <c r="B607" s="618" t="s">
        <v>790</v>
      </c>
      <c r="C607" s="618" t="s">
        <v>814</v>
      </c>
      <c r="D607" s="631" t="s">
        <v>497</v>
      </c>
      <c r="E607" s="631" t="s">
        <v>792</v>
      </c>
      <c r="F607" s="628"/>
      <c r="G607" s="628"/>
      <c r="H607" s="628">
        <f>((0.95*0.95*3.1416/4)-(0.766*0.766*3.1416/4))</f>
        <v>0.24798533759999991</v>
      </c>
      <c r="I607" s="626">
        <f>12*0.0254*7850*0.25*0.0254</f>
        <v>15.193517999999999</v>
      </c>
      <c r="J607" s="628">
        <v>1</v>
      </c>
      <c r="K607" s="140">
        <f t="shared" si="84"/>
        <v>3.7677696905616753</v>
      </c>
      <c r="L607" s="140">
        <f t="shared" si="85"/>
        <v>3.7677696905616753</v>
      </c>
      <c r="M607" s="140">
        <f t="shared" si="86"/>
        <v>0</v>
      </c>
      <c r="N607" s="140">
        <f t="shared" si="87"/>
        <v>0</v>
      </c>
      <c r="O607" s="140">
        <f t="shared" si="88"/>
        <v>0</v>
      </c>
      <c r="P607" s="140">
        <f t="shared" si="89"/>
        <v>0</v>
      </c>
      <c r="Q607" s="156">
        <f t="shared" si="91"/>
        <v>31.003063253035361</v>
      </c>
      <c r="R607" s="125">
        <v>2.0405453992311302</v>
      </c>
      <c r="S607" s="73">
        <f t="shared" si="90"/>
        <v>7.6883051074381257</v>
      </c>
      <c r="T607" t="s">
        <v>793</v>
      </c>
    </row>
    <row r="608" spans="1:20">
      <c r="A608" s="618" t="s">
        <v>756</v>
      </c>
      <c r="B608" s="618" t="s">
        <v>797</v>
      </c>
      <c r="C608" s="618" t="s">
        <v>982</v>
      </c>
      <c r="D608" s="631" t="s">
        <v>513</v>
      </c>
      <c r="E608" s="631" t="s">
        <v>799</v>
      </c>
      <c r="F608" s="628"/>
      <c r="G608" s="628"/>
      <c r="H608" s="628"/>
      <c r="I608" s="626">
        <v>0.19</v>
      </c>
      <c r="J608" s="628">
        <v>24</v>
      </c>
      <c r="K608" s="140">
        <f t="shared" si="84"/>
        <v>4.5600000000000005</v>
      </c>
      <c r="L608" s="140">
        <f t="shared" si="85"/>
        <v>0</v>
      </c>
      <c r="M608" s="140">
        <f t="shared" si="86"/>
        <v>0</v>
      </c>
      <c r="N608" s="140">
        <f t="shared" si="87"/>
        <v>0</v>
      </c>
      <c r="O608" s="140">
        <f t="shared" si="88"/>
        <v>0</v>
      </c>
      <c r="P608" s="140">
        <f t="shared" si="89"/>
        <v>4.5600000000000005</v>
      </c>
      <c r="Q608" s="156">
        <f t="shared" si="91"/>
        <v>0.4158434051497637</v>
      </c>
      <c r="R608" s="125">
        <v>2.1886495007882298</v>
      </c>
      <c r="S608" s="73">
        <f t="shared" si="90"/>
        <v>9.9802417235943288</v>
      </c>
      <c r="T608" t="s">
        <v>793</v>
      </c>
    </row>
    <row r="609" spans="1:20">
      <c r="A609" s="618" t="s">
        <v>756</v>
      </c>
      <c r="B609" s="618" t="s">
        <v>797</v>
      </c>
      <c r="C609" s="618" t="s">
        <v>899</v>
      </c>
      <c r="D609" s="631" t="s">
        <v>497</v>
      </c>
      <c r="E609" s="631" t="s">
        <v>799</v>
      </c>
      <c r="F609" s="628"/>
      <c r="G609" s="628"/>
      <c r="H609" s="628"/>
      <c r="I609" s="626">
        <v>0.06</v>
      </c>
      <c r="J609" s="628">
        <v>24</v>
      </c>
      <c r="K609" s="140">
        <f t="shared" si="84"/>
        <v>1.44</v>
      </c>
      <c r="L609" s="140">
        <f t="shared" si="85"/>
        <v>0</v>
      </c>
      <c r="M609" s="140">
        <f t="shared" si="86"/>
        <v>0</v>
      </c>
      <c r="N609" s="140">
        <f t="shared" si="87"/>
        <v>0</v>
      </c>
      <c r="O609" s="140">
        <f t="shared" si="88"/>
        <v>0</v>
      </c>
      <c r="P609" s="140">
        <f t="shared" si="89"/>
        <v>1.44</v>
      </c>
      <c r="Q609" s="156">
        <f t="shared" si="91"/>
        <v>0.1928008407777192</v>
      </c>
      <c r="R609" s="125">
        <v>3.2133473462953202</v>
      </c>
      <c r="S609" s="73">
        <f t="shared" si="90"/>
        <v>4.6272201786652607</v>
      </c>
      <c r="T609" t="s">
        <v>793</v>
      </c>
    </row>
    <row r="610" spans="1:20">
      <c r="A610" s="618" t="s">
        <v>756</v>
      </c>
      <c r="B610" s="618" t="s">
        <v>790</v>
      </c>
      <c r="C610" s="618" t="s">
        <v>791</v>
      </c>
      <c r="D610" s="631" t="s">
        <v>497</v>
      </c>
      <c r="E610" s="631" t="s">
        <v>792</v>
      </c>
      <c r="F610" s="627">
        <v>0.10100000000000001</v>
      </c>
      <c r="G610" s="627">
        <v>0.14499999999999999</v>
      </c>
      <c r="H610" s="628"/>
      <c r="I610" s="626">
        <f>12*0.0254*7850*0.25*0.0254</f>
        <v>15.193517999999999</v>
      </c>
      <c r="J610" s="627">
        <v>4</v>
      </c>
      <c r="K610" s="140">
        <f t="shared" si="84"/>
        <v>0.89003628443999994</v>
      </c>
      <c r="L610" s="140">
        <f t="shared" si="85"/>
        <v>0.89003628443999994</v>
      </c>
      <c r="M610" s="140">
        <f t="shared" si="86"/>
        <v>0</v>
      </c>
      <c r="N610" s="140">
        <f t="shared" si="87"/>
        <v>0</v>
      </c>
      <c r="O610" s="140">
        <f t="shared" si="88"/>
        <v>0</v>
      </c>
      <c r="P610" s="140">
        <f t="shared" si="89"/>
        <v>0</v>
      </c>
      <c r="Q610" s="156">
        <f t="shared" si="91"/>
        <v>31.003063253035361</v>
      </c>
      <c r="R610" s="125">
        <v>2.0405453992311302</v>
      </c>
      <c r="S610" s="73">
        <f t="shared" si="90"/>
        <v>1.8161594453628114</v>
      </c>
      <c r="T610" t="s">
        <v>793</v>
      </c>
    </row>
    <row r="611" spans="1:20">
      <c r="A611" s="618" t="s">
        <v>756</v>
      </c>
      <c r="B611" s="618" t="s">
        <v>797</v>
      </c>
      <c r="C611" s="618" t="s">
        <v>843</v>
      </c>
      <c r="D611" s="631" t="s">
        <v>497</v>
      </c>
      <c r="E611" s="631" t="s">
        <v>799</v>
      </c>
      <c r="F611" s="628"/>
      <c r="G611" s="628"/>
      <c r="H611" s="628"/>
      <c r="I611" s="626">
        <v>0.1</v>
      </c>
      <c r="J611" s="628">
        <v>6</v>
      </c>
      <c r="K611" s="140">
        <f t="shared" si="84"/>
        <v>0.60000000000000009</v>
      </c>
      <c r="L611" s="140">
        <f t="shared" si="85"/>
        <v>0</v>
      </c>
      <c r="M611" s="140">
        <f t="shared" si="86"/>
        <v>0</v>
      </c>
      <c r="N611" s="140">
        <f t="shared" si="87"/>
        <v>0</v>
      </c>
      <c r="O611" s="140">
        <f t="shared" si="88"/>
        <v>0</v>
      </c>
      <c r="P611" s="140">
        <f t="shared" si="89"/>
        <v>0.60000000000000009</v>
      </c>
      <c r="Q611" s="156">
        <f t="shared" si="91"/>
        <v>0.32133473462953205</v>
      </c>
      <c r="R611" s="125">
        <v>3.2133473462953202</v>
      </c>
      <c r="S611" s="73">
        <f t="shared" si="90"/>
        <v>1.9280084077771924</v>
      </c>
      <c r="T611" t="s">
        <v>793</v>
      </c>
    </row>
    <row r="612" spans="1:20">
      <c r="A612" s="618" t="s">
        <v>756</v>
      </c>
      <c r="B612" s="618" t="s">
        <v>797</v>
      </c>
      <c r="C612" s="618" t="s">
        <v>844</v>
      </c>
      <c r="D612" s="631" t="s">
        <v>513</v>
      </c>
      <c r="E612" s="631" t="s">
        <v>983</v>
      </c>
      <c r="F612" s="628"/>
      <c r="G612" s="628"/>
      <c r="H612" s="628"/>
      <c r="I612" s="626">
        <f>I150</f>
        <v>0.38</v>
      </c>
      <c r="J612" s="628">
        <v>3</v>
      </c>
      <c r="K612" s="140">
        <f t="shared" si="84"/>
        <v>1.1400000000000001</v>
      </c>
      <c r="L612" s="140">
        <f t="shared" si="85"/>
        <v>0</v>
      </c>
      <c r="M612" s="140">
        <f t="shared" si="86"/>
        <v>0</v>
      </c>
      <c r="N612" s="140">
        <f t="shared" si="87"/>
        <v>0</v>
      </c>
      <c r="O612" s="140">
        <f t="shared" si="88"/>
        <v>0</v>
      </c>
      <c r="P612" s="140">
        <f t="shared" si="89"/>
        <v>1.1400000000000001</v>
      </c>
      <c r="Q612" s="156">
        <f t="shared" si="91"/>
        <v>1.2210719915922217</v>
      </c>
      <c r="R612" s="125">
        <v>3.2133473462953202</v>
      </c>
      <c r="S612" s="73">
        <f t="shared" si="90"/>
        <v>3.6632159747766653</v>
      </c>
      <c r="T612" t="s">
        <v>793</v>
      </c>
    </row>
    <row r="613" spans="1:20">
      <c r="A613" s="618" t="s">
        <v>756</v>
      </c>
      <c r="B613" s="618" t="s">
        <v>790</v>
      </c>
      <c r="C613" s="618" t="s">
        <v>791</v>
      </c>
      <c r="D613" s="631" t="s">
        <v>497</v>
      </c>
      <c r="E613" s="631" t="s">
        <v>792</v>
      </c>
      <c r="F613" s="627"/>
      <c r="G613" s="627"/>
      <c r="H613" s="628">
        <f>0.782*0.782*3.1416/4</f>
        <v>0.48029094960000007</v>
      </c>
      <c r="I613" s="625">
        <f>12*0.0254*7850*0.25*0.0254</f>
        <v>15.193517999999999</v>
      </c>
      <c r="J613" s="627">
        <v>1</v>
      </c>
      <c r="K613" s="140">
        <f t="shared" si="84"/>
        <v>7.2973091879846939</v>
      </c>
      <c r="L613" s="140">
        <f t="shared" si="85"/>
        <v>7.2973091879846939</v>
      </c>
      <c r="M613" s="140">
        <f t="shared" si="86"/>
        <v>0</v>
      </c>
      <c r="N613" s="140">
        <f t="shared" si="87"/>
        <v>0</v>
      </c>
      <c r="O613" s="140">
        <f t="shared" si="88"/>
        <v>0</v>
      </c>
      <c r="P613" s="140">
        <f t="shared" si="89"/>
        <v>0</v>
      </c>
      <c r="Q613" s="156">
        <f t="shared" si="91"/>
        <v>31.003063253035361</v>
      </c>
      <c r="R613" s="125">
        <v>2.0405453992311302</v>
      </c>
      <c r="S613" s="73">
        <f t="shared" si="90"/>
        <v>14.890490690309221</v>
      </c>
      <c r="T613" t="s">
        <v>793</v>
      </c>
    </row>
    <row r="614" spans="1:20">
      <c r="A614" s="618" t="s">
        <v>756</v>
      </c>
      <c r="B614" s="618" t="s">
        <v>790</v>
      </c>
      <c r="C614" s="618" t="s">
        <v>791</v>
      </c>
      <c r="D614" s="631" t="s">
        <v>497</v>
      </c>
      <c r="E614" s="631" t="s">
        <v>792</v>
      </c>
      <c r="F614" s="627">
        <v>0.09</v>
      </c>
      <c r="G614" s="627">
        <v>0.1</v>
      </c>
      <c r="H614" s="628"/>
      <c r="I614" s="625">
        <f>12*0.0254*7850*0.25*0.0254</f>
        <v>15.193517999999999</v>
      </c>
      <c r="J614" s="627">
        <v>3</v>
      </c>
      <c r="K614" s="140">
        <f t="shared" si="84"/>
        <v>0.41022498599999996</v>
      </c>
      <c r="L614" s="140">
        <f t="shared" si="85"/>
        <v>0.41022498599999996</v>
      </c>
      <c r="M614" s="140">
        <f t="shared" si="86"/>
        <v>0</v>
      </c>
      <c r="N614" s="140">
        <f t="shared" si="87"/>
        <v>0</v>
      </c>
      <c r="O614" s="140">
        <f t="shared" si="88"/>
        <v>0</v>
      </c>
      <c r="P614" s="140">
        <f t="shared" si="89"/>
        <v>0</v>
      </c>
      <c r="Q614" s="156">
        <f t="shared" si="91"/>
        <v>31.003063253035361</v>
      </c>
      <c r="R614" s="125">
        <v>2.0405453992311302</v>
      </c>
      <c r="S614" s="73">
        <f t="shared" si="90"/>
        <v>0.83708270783195471</v>
      </c>
      <c r="T614" t="s">
        <v>793</v>
      </c>
    </row>
    <row r="615" spans="1:20">
      <c r="A615" s="618" t="s">
        <v>756</v>
      </c>
      <c r="B615" s="618" t="s">
        <v>790</v>
      </c>
      <c r="C615" s="618" t="s">
        <v>814</v>
      </c>
      <c r="D615" s="631" t="s">
        <v>497</v>
      </c>
      <c r="E615" s="631" t="s">
        <v>792</v>
      </c>
      <c r="F615" s="628">
        <v>0.15</v>
      </c>
      <c r="G615" s="628">
        <v>0.15</v>
      </c>
      <c r="H615" s="628"/>
      <c r="I615" s="626">
        <f>12*0.0254*7850*0.25*0.0254</f>
        <v>15.193517999999999</v>
      </c>
      <c r="J615" s="628">
        <v>4</v>
      </c>
      <c r="K615" s="140">
        <f t="shared" si="84"/>
        <v>1.36741662</v>
      </c>
      <c r="L615" s="140">
        <f t="shared" si="85"/>
        <v>1.36741662</v>
      </c>
      <c r="M615" s="140">
        <f t="shared" si="86"/>
        <v>0</v>
      </c>
      <c r="N615" s="140">
        <f t="shared" si="87"/>
        <v>0</v>
      </c>
      <c r="O615" s="140">
        <f t="shared" si="88"/>
        <v>0</v>
      </c>
      <c r="P615" s="140">
        <f t="shared" si="89"/>
        <v>0</v>
      </c>
      <c r="Q615" s="156">
        <f t="shared" si="91"/>
        <v>31.003063253035361</v>
      </c>
      <c r="R615" s="125">
        <v>2.0405453992311302</v>
      </c>
      <c r="S615" s="73">
        <f t="shared" si="90"/>
        <v>2.7902756927731827</v>
      </c>
      <c r="T615" t="s">
        <v>793</v>
      </c>
    </row>
    <row r="616" spans="1:20">
      <c r="A616" s="618" t="s">
        <v>756</v>
      </c>
      <c r="B616" s="618" t="s">
        <v>794</v>
      </c>
      <c r="C616" s="618" t="s">
        <v>845</v>
      </c>
      <c r="D616" s="631" t="s">
        <v>515</v>
      </c>
      <c r="E616" s="633" t="s">
        <v>792</v>
      </c>
      <c r="F616" s="628"/>
      <c r="G616" s="628">
        <v>2.7749999999999999</v>
      </c>
      <c r="H616" s="628"/>
      <c r="I616" s="626">
        <f>12*0.0254*7850*0.25*0.0254</f>
        <v>15.193517999999999</v>
      </c>
      <c r="J616" s="628">
        <v>2</v>
      </c>
      <c r="K616" s="140">
        <f t="shared" si="84"/>
        <v>84.324024899999998</v>
      </c>
      <c r="L616" s="140">
        <f t="shared" si="85"/>
        <v>0</v>
      </c>
      <c r="M616" s="140">
        <f t="shared" si="86"/>
        <v>0</v>
      </c>
      <c r="N616" s="140">
        <f t="shared" si="87"/>
        <v>0</v>
      </c>
      <c r="O616" s="140">
        <f t="shared" si="88"/>
        <v>84.324024899999998</v>
      </c>
      <c r="P616" s="140">
        <f t="shared" si="89"/>
        <v>0</v>
      </c>
      <c r="Q616" s="156">
        <f t="shared" si="91"/>
        <v>33.253285585916984</v>
      </c>
      <c r="R616" s="157">
        <v>2.1886495007882298</v>
      </c>
      <c r="S616" s="73">
        <f t="shared" si="90"/>
        <v>184.55573500183925</v>
      </c>
      <c r="T616" t="s">
        <v>793</v>
      </c>
    </row>
    <row r="617" spans="1:20">
      <c r="A617" s="618" t="s">
        <v>756</v>
      </c>
      <c r="B617" s="618" t="s">
        <v>794</v>
      </c>
      <c r="C617" s="618" t="s">
        <v>842</v>
      </c>
      <c r="D617" s="631" t="s">
        <v>515</v>
      </c>
      <c r="E617" s="633" t="s">
        <v>792</v>
      </c>
      <c r="F617" s="628"/>
      <c r="G617" s="628">
        <v>1.254</v>
      </c>
      <c r="H617" s="628"/>
      <c r="I617" s="626">
        <f>8*0.0254*7850*3*0.0254/8</f>
        <v>15.193517999999999</v>
      </c>
      <c r="J617" s="628">
        <v>4</v>
      </c>
      <c r="K617" s="140">
        <f t="shared" si="84"/>
        <v>76.210686287999991</v>
      </c>
      <c r="L617" s="140">
        <f t="shared" si="85"/>
        <v>0</v>
      </c>
      <c r="M617" s="140">
        <f t="shared" si="86"/>
        <v>0</v>
      </c>
      <c r="N617" s="140">
        <f t="shared" si="87"/>
        <v>0</v>
      </c>
      <c r="O617" s="140">
        <f t="shared" si="88"/>
        <v>76.210686287999991</v>
      </c>
      <c r="P617" s="140">
        <f t="shared" si="89"/>
        <v>0</v>
      </c>
      <c r="Q617" s="156">
        <f t="shared" si="91"/>
        <v>33.253285585916984</v>
      </c>
      <c r="R617" s="157">
        <v>2.1886495007882298</v>
      </c>
      <c r="S617" s="73">
        <f t="shared" si="90"/>
        <v>166.79848049895958</v>
      </c>
      <c r="T617" t="s">
        <v>793</v>
      </c>
    </row>
    <row r="618" spans="1:20">
      <c r="A618" s="618" t="s">
        <v>756</v>
      </c>
      <c r="B618" s="618" t="s">
        <v>818</v>
      </c>
      <c r="C618" s="618" t="s">
        <v>846</v>
      </c>
      <c r="D618" s="631" t="s">
        <v>513</v>
      </c>
      <c r="E618" s="633" t="s">
        <v>984</v>
      </c>
      <c r="F618" s="628"/>
      <c r="G618" s="628">
        <v>1</v>
      </c>
      <c r="H618" s="628"/>
      <c r="I618" s="626">
        <v>2.72</v>
      </c>
      <c r="J618" s="628">
        <v>3</v>
      </c>
      <c r="K618" s="140">
        <f t="shared" si="84"/>
        <v>8.16</v>
      </c>
      <c r="L618" s="140">
        <f t="shared" si="85"/>
        <v>0</v>
      </c>
      <c r="M618" s="140">
        <f t="shared" si="86"/>
        <v>0</v>
      </c>
      <c r="N618" s="140">
        <f t="shared" si="87"/>
        <v>8.16</v>
      </c>
      <c r="O618" s="140">
        <f t="shared" si="88"/>
        <v>0</v>
      </c>
      <c r="P618" s="140">
        <f t="shared" si="89"/>
        <v>0</v>
      </c>
      <c r="Q618" s="156">
        <f t="shared" si="91"/>
        <v>15.150814503415662</v>
      </c>
      <c r="R618" s="125">
        <v>5.5701523909616402</v>
      </c>
      <c r="S618" s="73">
        <f t="shared" si="90"/>
        <v>45.452443510246987</v>
      </c>
      <c r="T618" t="s">
        <v>793</v>
      </c>
    </row>
    <row r="619" spans="1:20">
      <c r="A619" s="618" t="s">
        <v>756</v>
      </c>
      <c r="B619" s="618" t="s">
        <v>815</v>
      </c>
      <c r="C619" s="618" t="s">
        <v>847</v>
      </c>
      <c r="D619" s="631" t="s">
        <v>515</v>
      </c>
      <c r="E619" s="631" t="s">
        <v>817</v>
      </c>
      <c r="F619" s="628"/>
      <c r="G619" s="628">
        <v>0.49299999999999999</v>
      </c>
      <c r="H619" s="628"/>
      <c r="I619" s="626">
        <v>5.44</v>
      </c>
      <c r="J619" s="628">
        <v>3</v>
      </c>
      <c r="K619" s="140">
        <f t="shared" si="84"/>
        <v>8.0457600000000014</v>
      </c>
      <c r="L619" s="140">
        <f t="shared" si="85"/>
        <v>0</v>
      </c>
      <c r="M619" s="140">
        <f t="shared" si="86"/>
        <v>8.0457600000000014</v>
      </c>
      <c r="N619" s="140">
        <f t="shared" si="87"/>
        <v>0</v>
      </c>
      <c r="O619" s="140">
        <f t="shared" si="88"/>
        <v>0</v>
      </c>
      <c r="P619" s="140">
        <f t="shared" si="89"/>
        <v>0</v>
      </c>
      <c r="Q619" s="156">
        <f t="shared" si="91"/>
        <v>21.162543352601134</v>
      </c>
      <c r="R619" s="125">
        <v>3.8901734104046199</v>
      </c>
      <c r="S619" s="73">
        <f t="shared" si="90"/>
        <v>31.299401618497079</v>
      </c>
      <c r="T619" t="s">
        <v>793</v>
      </c>
    </row>
    <row r="620" spans="1:20">
      <c r="A620" s="618" t="s">
        <v>756</v>
      </c>
      <c r="B620" s="618" t="s">
        <v>790</v>
      </c>
      <c r="C620" s="618" t="s">
        <v>791</v>
      </c>
      <c r="D620" s="631" t="s">
        <v>497</v>
      </c>
      <c r="E620" s="631" t="s">
        <v>792</v>
      </c>
      <c r="F620" s="627">
        <v>0.4</v>
      </c>
      <c r="G620" s="627">
        <v>0.47399999999999998</v>
      </c>
      <c r="H620" s="627"/>
      <c r="I620" s="625">
        <f>3/8*0.0254*7850</f>
        <v>74.771249999999995</v>
      </c>
      <c r="J620" s="627">
        <v>3</v>
      </c>
      <c r="K620" s="140">
        <f t="shared" si="84"/>
        <v>42.529886999999995</v>
      </c>
      <c r="L620" s="140">
        <f t="shared" si="85"/>
        <v>42.529886999999995</v>
      </c>
      <c r="M620" s="140">
        <f t="shared" si="86"/>
        <v>0</v>
      </c>
      <c r="N620" s="140">
        <f t="shared" si="87"/>
        <v>0</v>
      </c>
      <c r="O620" s="140">
        <f t="shared" si="88"/>
        <v>0</v>
      </c>
      <c r="P620" s="140">
        <f t="shared" si="89"/>
        <v>0</v>
      </c>
      <c r="Q620" s="156">
        <f t="shared" si="91"/>
        <v>152.57413018226063</v>
      </c>
      <c r="R620" s="125">
        <v>2.0405453992311302</v>
      </c>
      <c r="S620" s="73">
        <f t="shared" si="90"/>
        <v>86.784165247669847</v>
      </c>
      <c r="T620" t="s">
        <v>793</v>
      </c>
    </row>
    <row r="621" spans="1:20">
      <c r="A621" s="618" t="s">
        <v>756</v>
      </c>
      <c r="B621" s="618" t="s">
        <v>790</v>
      </c>
      <c r="C621" s="618" t="s">
        <v>791</v>
      </c>
      <c r="D621" s="631" t="s">
        <v>497</v>
      </c>
      <c r="E621" s="631" t="s">
        <v>792</v>
      </c>
      <c r="F621" s="627">
        <v>0.66600000000000004</v>
      </c>
      <c r="G621" s="627">
        <v>0.80200000000000005</v>
      </c>
      <c r="H621" s="627"/>
      <c r="I621" s="625">
        <f>3/8*0.0254*7850</f>
        <v>74.771249999999995</v>
      </c>
      <c r="J621" s="627">
        <v>3</v>
      </c>
      <c r="K621" s="140">
        <f t="shared" si="84"/>
        <v>119.81315191499999</v>
      </c>
      <c r="L621" s="140">
        <f t="shared" si="85"/>
        <v>119.81315191499999</v>
      </c>
      <c r="M621" s="140">
        <f t="shared" si="86"/>
        <v>0</v>
      </c>
      <c r="N621" s="140">
        <f t="shared" si="87"/>
        <v>0</v>
      </c>
      <c r="O621" s="140">
        <f t="shared" si="88"/>
        <v>0</v>
      </c>
      <c r="P621" s="140">
        <f t="shared" si="89"/>
        <v>0</v>
      </c>
      <c r="Q621" s="156">
        <f t="shared" si="91"/>
        <v>152.57413018226063</v>
      </c>
      <c r="R621" s="125">
        <v>2.0405453992311302</v>
      </c>
      <c r="S621" s="73">
        <f t="shared" si="90"/>
        <v>244.48417590753371</v>
      </c>
      <c r="T621" t="s">
        <v>793</v>
      </c>
    </row>
    <row r="622" spans="1:20">
      <c r="A622" s="618" t="s">
        <v>756</v>
      </c>
      <c r="B622" s="618" t="s">
        <v>818</v>
      </c>
      <c r="C622" s="618" t="s">
        <v>985</v>
      </c>
      <c r="D622" s="631" t="s">
        <v>513</v>
      </c>
      <c r="E622" s="631" t="s">
        <v>986</v>
      </c>
      <c r="F622" s="628"/>
      <c r="G622" s="628">
        <v>3</v>
      </c>
      <c r="H622" s="628"/>
      <c r="I622" s="626">
        <v>19.05</v>
      </c>
      <c r="J622" s="628">
        <v>3</v>
      </c>
      <c r="K622" s="140">
        <f t="shared" si="84"/>
        <v>171.45000000000002</v>
      </c>
      <c r="L622" s="140">
        <f t="shared" si="85"/>
        <v>0</v>
      </c>
      <c r="M622" s="140">
        <f t="shared" si="86"/>
        <v>0</v>
      </c>
      <c r="N622" s="140">
        <f t="shared" si="87"/>
        <v>171.45000000000002</v>
      </c>
      <c r="O622" s="140">
        <f t="shared" si="88"/>
        <v>0</v>
      </c>
      <c r="P622" s="140">
        <f t="shared" si="89"/>
        <v>0</v>
      </c>
      <c r="Q622" s="156">
        <f t="shared" si="91"/>
        <v>86.090383604834386</v>
      </c>
      <c r="R622" s="125">
        <v>4.51918024172359</v>
      </c>
      <c r="S622" s="73">
        <f t="shared" si="90"/>
        <v>774.81345244350962</v>
      </c>
      <c r="T622" t="s">
        <v>793</v>
      </c>
    </row>
    <row r="623" spans="1:20">
      <c r="A623" s="618" t="s">
        <v>756</v>
      </c>
      <c r="B623" s="618" t="s">
        <v>815</v>
      </c>
      <c r="C623" s="618" t="s">
        <v>849</v>
      </c>
      <c r="D623" s="631" t="s">
        <v>515</v>
      </c>
      <c r="E623" s="631" t="s">
        <v>817</v>
      </c>
      <c r="F623" s="628"/>
      <c r="G623" s="628">
        <v>0.5</v>
      </c>
      <c r="H623" s="628"/>
      <c r="I623" s="626">
        <v>42.55</v>
      </c>
      <c r="J623" s="628">
        <v>3</v>
      </c>
      <c r="K623" s="140">
        <f t="shared" si="84"/>
        <v>63.824999999999996</v>
      </c>
      <c r="L623" s="140">
        <f t="shared" si="85"/>
        <v>0</v>
      </c>
      <c r="M623" s="140">
        <f t="shared" si="86"/>
        <v>63.824999999999996</v>
      </c>
      <c r="N623" s="140">
        <f t="shared" si="87"/>
        <v>0</v>
      </c>
      <c r="O623" s="140">
        <f t="shared" si="88"/>
        <v>0</v>
      </c>
      <c r="P623" s="140">
        <f t="shared" si="89"/>
        <v>0</v>
      </c>
      <c r="Q623" s="156">
        <f t="shared" si="91"/>
        <v>127.14691276931151</v>
      </c>
      <c r="R623" s="125">
        <v>2.98817656332107</v>
      </c>
      <c r="S623" s="73">
        <f t="shared" si="90"/>
        <v>190.72036915396728</v>
      </c>
      <c r="T623" t="s">
        <v>793</v>
      </c>
    </row>
    <row r="625" spans="12:19">
      <c r="L625" s="81"/>
      <c r="S625" s="81"/>
    </row>
    <row r="626" spans="12:19">
      <c r="L626" s="158"/>
      <c r="S626" s="158"/>
    </row>
  </sheetData>
  <sheetProtection algorithmName="SHA-512" hashValue="hbC7cvUjaSm4SOZQOaZhxxb1mFzUxcY47/RAgBOixFHhQEPaeQfXXskeAKYFQsKi0YULTGrbVTrIR4ZSHCMEow==" saltValue="DpIHG1ymE24cmesAVew8Iw==" spinCount="100000" sheet="1" objects="1" scenarios="1"/>
  <autoFilter ref="A2:T623" xr:uid="{00000000-0009-0000-0000-000008000000}"/>
  <pageMargins left="0.7" right="0.7" top="0.75" bottom="0.75" header="0.51180555555555496" footer="0.51180555555555496"/>
  <pageSetup firstPageNumber="0" orientation="portrait" horizontalDpi="300" verticalDpi="300"/>
  <drawing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151584D72037D418DBB71F692B269A1" ma:contentTypeVersion="17" ma:contentTypeDescription="Crear nuevo documento." ma:contentTypeScope="" ma:versionID="d6735dd164c0fa2b8face35e11b1fb32">
  <xsd:schema xmlns:xsd="http://www.w3.org/2001/XMLSchema" xmlns:xs="http://www.w3.org/2001/XMLSchema" xmlns:p="http://schemas.microsoft.com/office/2006/metadata/properties" xmlns:ns2="1f8cd00a-7ed1-45f4-a1d2-11fa5d528c74" xmlns:ns3="b34339ab-555d-41ee-a400-3aa7e74f922f" targetNamespace="http://schemas.microsoft.com/office/2006/metadata/properties" ma:root="true" ma:fieldsID="040beafa686a2e66c59db575c795e951" ns2:_="" ns3:_="">
    <xsd:import namespace="1f8cd00a-7ed1-45f4-a1d2-11fa5d528c74"/>
    <xsd:import namespace="b34339ab-555d-41ee-a400-3aa7e74f92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8cd00a-7ed1-45f4-a1d2-11fa5d528c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1" nillable="true" ma:displayName="Location" ma:internalName="MediaServiceLocatio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42cdfcee-ca2d-46b2-8159-5b17d2d80c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4339ab-555d-41ee-a400-3aa7e74f922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f156b55-9fdd-4f48-9d45-01a05c4d6907}" ma:internalName="TaxCatchAll" ma:showField="CatchAllData" ma:web="b34339ab-555d-41ee-a400-3aa7e74f92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f8cd00a-7ed1-45f4-a1d2-11fa5d528c74">
      <Terms xmlns="http://schemas.microsoft.com/office/infopath/2007/PartnerControls"/>
    </lcf76f155ced4ddcb4097134ff3c332f>
    <SharedWithUsers xmlns="b34339ab-555d-41ee-a400-3aa7e74f922f">
      <UserInfo>
        <DisplayName/>
        <AccountId xsi:nil="true"/>
        <AccountType/>
      </UserInfo>
    </SharedWithUsers>
    <TaxCatchAll xmlns="b34339ab-555d-41ee-a400-3aa7e74f922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ACA031-387A-46F5-9259-D2BEDFEAC4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8cd00a-7ed1-45f4-a1d2-11fa5d528c74"/>
    <ds:schemaRef ds:uri="b34339ab-555d-41ee-a400-3aa7e74f92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B48591D-F202-4B1D-AB8E-F2E2705F4B12}">
  <ds:schemaRefs>
    <ds:schemaRef ds:uri="http://purl.org/dc/terms/"/>
    <ds:schemaRef ds:uri="b34339ab-555d-41ee-a400-3aa7e74f922f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f8cd00a-7ed1-45f4-a1d2-11fa5d528c74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2C33333-38E7-413E-86E1-ECCFA2DE23B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18</vt:i4>
      </vt:variant>
      <vt:variant>
        <vt:lpstr>Rangos con nombre</vt:lpstr>
      </vt:variant>
      <vt:variant>
        <vt:i4>63</vt:i4>
      </vt:variant>
    </vt:vector>
  </HeadingPairs>
  <TitlesOfParts>
    <vt:vector size="81" baseType="lpstr">
      <vt:lpstr>PRESENTACIÓN</vt:lpstr>
      <vt:lpstr>Inicio</vt:lpstr>
      <vt:lpstr>Indices</vt:lpstr>
      <vt:lpstr>Factores</vt:lpstr>
      <vt:lpstr>Costo Tanque</vt:lpstr>
      <vt:lpstr>BD SuministroMontaje</vt:lpstr>
      <vt:lpstr>Costo Mantenimiento</vt:lpstr>
      <vt:lpstr>Materiales Tanque Base</vt:lpstr>
      <vt:lpstr>BD Materiales</vt:lpstr>
      <vt:lpstr>Regresiones</vt:lpstr>
      <vt:lpstr>Tanque T Flotante</vt:lpstr>
      <vt:lpstr>Tanque T Cónico</vt:lpstr>
      <vt:lpstr>Tanque T Geodésico</vt:lpstr>
      <vt:lpstr>COSTA CARIBE</vt:lpstr>
      <vt:lpstr>MAGDALENA MEDIO</vt:lpstr>
      <vt:lpstr>CENTRO OCCIDENTE</vt:lpstr>
      <vt:lpstr>SUR</vt:lpstr>
      <vt:lpstr>LLANOS - NARIÑO</vt:lpstr>
      <vt:lpstr>Altura</vt:lpstr>
      <vt:lpstr>Altura_TanqueBase</vt:lpstr>
      <vt:lpstr>Capacidad</vt:lpstr>
      <vt:lpstr>CapacidadRefinados</vt:lpstr>
      <vt:lpstr>ConMembrana</vt:lpstr>
      <vt:lpstr>ConsAccesorios</vt:lpstr>
      <vt:lpstr>ConsEstructura</vt:lpstr>
      <vt:lpstr>ConsFactor</vt:lpstr>
      <vt:lpstr>ConsLamina</vt:lpstr>
      <vt:lpstr>ConsPerfiles</vt:lpstr>
      <vt:lpstr>ConsTornilleria</vt:lpstr>
      <vt:lpstr>ConsTuberia</vt:lpstr>
      <vt:lpstr>Crudo</vt:lpstr>
      <vt:lpstr>Diametro</vt:lpstr>
      <vt:lpstr>Diametro_TanqueBase</vt:lpstr>
      <vt:lpstr>fac_Arancel</vt:lpstr>
      <vt:lpstr>fac_area_techof</vt:lpstr>
      <vt:lpstr>fac_iAcero</vt:lpstr>
      <vt:lpstr>fac_iAluminio</vt:lpstr>
      <vt:lpstr>fac_iInstControl</vt:lpstr>
      <vt:lpstr>fac_imprevistos</vt:lpstr>
      <vt:lpstr>fac_iObraCivil</vt:lpstr>
      <vt:lpstr>fac_iva</vt:lpstr>
      <vt:lpstr>fac_mano_obra</vt:lpstr>
      <vt:lpstr>fac_regionalizacion</vt:lpstr>
      <vt:lpstr>fac_utilidad</vt:lpstr>
      <vt:lpstr>FDCableC</vt:lpstr>
      <vt:lpstr>FDCableI</vt:lpstr>
      <vt:lpstr>FDCajaI</vt:lpstr>
      <vt:lpstr>FDEsc</vt:lpstr>
      <vt:lpstr>FDHidro</vt:lpstr>
      <vt:lpstr>FDInst</vt:lpstr>
      <vt:lpstr>FDKit1</vt:lpstr>
      <vt:lpstr>FDKit2</vt:lpstr>
      <vt:lpstr>FDKit3</vt:lpstr>
      <vt:lpstr>FDPesoT</vt:lpstr>
      <vt:lpstr>FDPesoV</vt:lpstr>
      <vt:lpstr>FDPint</vt:lpstr>
      <vt:lpstr>Fecha</vt:lpstr>
      <vt:lpstr>GLP</vt:lpstr>
      <vt:lpstr>iAcero_base</vt:lpstr>
      <vt:lpstr>iAcero_Calculo</vt:lpstr>
      <vt:lpstr>iAluminio_base</vt:lpstr>
      <vt:lpstr>iAluminio_Calculo</vt:lpstr>
      <vt:lpstr>iInstControl_base</vt:lpstr>
      <vt:lpstr>iInstControl_Calculo</vt:lpstr>
      <vt:lpstr>iMedidores_base</vt:lpstr>
      <vt:lpstr>iObraCivil_base</vt:lpstr>
      <vt:lpstr>iObraCivil_Calculo</vt:lpstr>
      <vt:lpstr>ipc</vt:lpstr>
      <vt:lpstr>ipc_base</vt:lpstr>
      <vt:lpstr>Pilotes</vt:lpstr>
      <vt:lpstr>Refinados</vt:lpstr>
      <vt:lpstr>Region</vt:lpstr>
      <vt:lpstr>TipoTecho</vt:lpstr>
      <vt:lpstr>TotalComisionamiento</vt:lpstr>
      <vt:lpstr>TotalConstruccionMontaje</vt:lpstr>
      <vt:lpstr>TotalIngenieria</vt:lpstr>
      <vt:lpstr>TotalMateriales</vt:lpstr>
      <vt:lpstr>trm_base</vt:lpstr>
      <vt:lpstr>trm_calculo</vt:lpstr>
      <vt:lpstr>trm_ref</vt:lpstr>
      <vt:lpstr>Ubicacion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ITAPC0299</dc:creator>
  <cp:keywords/>
  <dc:description/>
  <cp:lastModifiedBy>Luis Carlos Romero Romero</cp:lastModifiedBy>
  <cp:revision>2</cp:revision>
  <dcterms:created xsi:type="dcterms:W3CDTF">2019-05-22T21:35:49Z</dcterms:created>
  <dcterms:modified xsi:type="dcterms:W3CDTF">2026-07-01T16:46:33Z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0x0101009151584D72037D418DBB71F692B269A1</vt:lpwstr>
  </property>
  <property fmtid="{D5CDD505-2E9C-101B-9397-08002B2CF9AE}" pid="9" name="MediaServiceImageTags">
    <vt:lpwstr/>
  </property>
  <property fmtid="{D5CDD505-2E9C-101B-9397-08002B2CF9AE}" pid="10" name="Order">
    <vt:r8>3192400</vt:r8>
  </property>
  <property fmtid="{D5CDD505-2E9C-101B-9397-08002B2CF9AE}" pid="11" name="ComplianceAssetId">
    <vt:lpwstr/>
  </property>
  <property fmtid="{D5CDD505-2E9C-101B-9397-08002B2CF9AE}" pid="12" name="_ExtendedDescription">
    <vt:lpwstr/>
  </property>
  <property fmtid="{D5CDD505-2E9C-101B-9397-08002B2CF9AE}" pid="13" name="TriggerFlowInfo">
    <vt:lpwstr/>
  </property>
  <property fmtid="{D5CDD505-2E9C-101B-9397-08002B2CF9AE}" pid="14" name="xd_Signature">
    <vt:bool>false</vt:bool>
  </property>
  <property fmtid="{D5CDD505-2E9C-101B-9397-08002B2CF9AE}" pid="15" name="xd_ProgID">
    <vt:lpwstr/>
  </property>
  <property fmtid="{D5CDD505-2E9C-101B-9397-08002B2CF9AE}" pid="16" name="TemplateUrl">
    <vt:lpwstr/>
  </property>
</Properties>
</file>